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400" yWindow="1820" windowWidth="33660" windowHeight="179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ONE'!$A$2:$Q$103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35" l="1"/>
  <c r="I16" i="35"/>
  <c r="I15" i="35"/>
  <c r="D22" i="35"/>
  <c r="I22" i="35"/>
  <c r="K22" i="35"/>
  <c r="M25" i="35"/>
  <c r="I31" i="35"/>
  <c r="M31" i="35"/>
  <c r="O50" i="35"/>
  <c r="O53" i="35"/>
  <c r="D22" i="36"/>
  <c r="F22" i="36"/>
  <c r="Q83" i="35"/>
  <c r="J75" i="35"/>
  <c r="K75" i="35"/>
  <c r="C92" i="35"/>
  <c r="F92" i="35"/>
  <c r="I92" i="35"/>
  <c r="K92" i="35"/>
  <c r="M96" i="35"/>
  <c r="J73" i="35"/>
  <c r="K73" i="35"/>
  <c r="G31" i="35"/>
  <c r="K31" i="35"/>
  <c r="K96" i="35"/>
  <c r="P96" i="35"/>
  <c r="M61" i="35"/>
  <c r="O99" i="35"/>
  <c r="K76" i="35"/>
  <c r="I73" i="35"/>
  <c r="B92" i="35"/>
  <c r="O73" i="35"/>
  <c r="I77" i="35"/>
  <c r="O75" i="35"/>
  <c r="O76" i="35"/>
  <c r="O74" i="35"/>
  <c r="O78" i="35"/>
  <c r="G22" i="36"/>
  <c r="J41" i="36"/>
  <c r="D39" i="35"/>
  <c r="G40" i="35"/>
  <c r="I40" i="35"/>
  <c r="K40" i="35"/>
  <c r="M40" i="35"/>
  <c r="M45" i="35"/>
  <c r="N40" i="36"/>
  <c r="N41" i="36"/>
  <c r="M56" i="36"/>
  <c r="I19" i="36"/>
  <c r="K19" i="36"/>
  <c r="M54" i="36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67" i="35"/>
  <c r="Q9" i="36"/>
  <c r="Q35" i="36"/>
  <c r="Q37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1" i="35"/>
  <c r="C31" i="35"/>
  <c r="C34" i="35"/>
  <c r="C27" i="35"/>
  <c r="D40" i="35"/>
  <c r="I48" i="36"/>
  <c r="I45" i="36"/>
  <c r="E56" i="36"/>
  <c r="F45" i="36"/>
  <c r="R9" i="36"/>
  <c r="F48" i="36"/>
  <c r="R23" i="36"/>
  <c r="Q23" i="36"/>
  <c r="P9" i="36"/>
  <c r="P23" i="36"/>
  <c r="J35" i="36"/>
  <c r="J37" i="36"/>
  <c r="H37" i="36"/>
  <c r="G22" i="35"/>
  <c r="N22" i="35"/>
  <c r="M22" i="35"/>
  <c r="M59" i="35"/>
  <c r="M60" i="35"/>
  <c r="M21" i="35"/>
  <c r="H7" i="35"/>
  <c r="M6" i="36"/>
  <c r="O54" i="36"/>
  <c r="J38" i="36"/>
  <c r="C61" i="35"/>
  <c r="B22" i="36"/>
  <c r="N32" i="36"/>
  <c r="M76" i="35"/>
  <c r="C67" i="35"/>
  <c r="F56" i="36"/>
  <c r="L81" i="35"/>
  <c r="F85" i="35"/>
  <c r="L85" i="35"/>
  <c r="D83" i="35"/>
  <c r="D82" i="35"/>
  <c r="D78" i="35"/>
  <c r="D23" i="35"/>
  <c r="B23" i="36"/>
  <c r="B25" i="36"/>
  <c r="N42" i="36"/>
  <c r="N39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7" i="35"/>
  <c r="M67" i="35"/>
  <c r="Q84" i="35"/>
  <c r="Q85" i="35"/>
  <c r="Q46" i="35"/>
  <c r="Q47" i="35"/>
  <c r="J39" i="36"/>
  <c r="K74" i="35"/>
  <c r="K77" i="35"/>
  <c r="F25" i="36"/>
  <c r="Q99" i="35"/>
  <c r="N67" i="35"/>
  <c r="D84" i="35"/>
  <c r="M75" i="35"/>
  <c r="M74" i="35"/>
  <c r="Q50" i="35"/>
  <c r="Q53" i="35"/>
  <c r="Q54" i="35"/>
  <c r="F84" i="35"/>
  <c r="L84" i="35"/>
  <c r="D85" i="35"/>
  <c r="F83" i="35"/>
  <c r="L83" i="35"/>
  <c r="F82" i="35"/>
  <c r="L82" i="35"/>
  <c r="G25" i="36"/>
  <c r="I56" i="36"/>
  <c r="S82" i="35"/>
  <c r="S83" i="35"/>
  <c r="H56" i="36"/>
  <c r="J51" i="36"/>
  <c r="J48" i="36"/>
  <c r="J45" i="36"/>
  <c r="J56" i="36"/>
  <c r="M73" i="35"/>
  <c r="M78" i="35"/>
  <c r="O79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<sst xmlns="http://schemas.openxmlformats.org/spreadsheetml/2006/main" count="739" uniqueCount="377">
  <si>
    <t>}</t>
  </si>
  <si>
    <t>{</t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</si>
  <si>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</si>
  <si>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</si>
  <si>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</si>
  <si>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</si>
  <si>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</si>
  <si>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</si>
  <si>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</si>
  <si>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</si>
  <si>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</si>
  <si>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</si>
  <si>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</si>
  <si>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</si>
  <si>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</si>
  <si>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</si>
  <si>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</si>
  <si>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</si>
  <si>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</si>
  <si>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</si>
  <si>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</si>
  <si>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</si>
  <si>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</si>
  <si>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</si>
  <si>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</si>
  <si>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</si>
  <si>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</si>
  <si>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</si>
  <si>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</si>
  <si>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</si>
  <si>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</si>
  <si>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</si>
  <si>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</si>
  <si>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</si>
  <si>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</si>
  <si>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</si>
  <si>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</si>
  <si>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</si>
  <si>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</si>
  <si>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</si>
  <si>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</si>
  <si>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</si>
  <si>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</si>
  <si>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</si>
  <si>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</si>
  <si>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</si>
  <si>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</si>
  <si>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</si>
  <si>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</si>
  <si>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</si>
  <si>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</si>
  <si>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</si>
  <si>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</si>
  <si>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</si>
  <si>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</si>
  <si>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</si>
  <si>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</si>
  <si>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</si>
  <si>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</si>
  <si>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</si>
  <si>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</si>
  <si>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</si>
  <si>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</si>
  <si>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</si>
  <si>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</si>
  <si>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</si>
  <si>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</si>
  <si>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</si>
  <si>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</si>
  <si>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</si>
  <si>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</si>
  <si>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</si>
  <si>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</si>
  <si>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</si>
  <si>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</si>
  <si>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</si>
  <si>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</si>
  <si>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</si>
  <si>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</si>
  <si>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</si>
  <si>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</si>
  <si>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</si>
  <si>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</si>
  <si>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</si>
  <si>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</si>
  <si>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</si>
  <si>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</si>
  <si>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</si>
  <si>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</si>
  <si>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</si>
  <si>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</si>
  <si>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</si>
  <si>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</si>
  <si>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</si>
  <si>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</si>
  <si>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</si>
  <si>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</si>
  <si>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</si>
  <si>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</si>
  <si>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</si>
  <si>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</si>
  <si>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</si>
  <si>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</si>
  <si>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</si>
  <si>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</si>
  <si>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</si>
  <si>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</si>
  <si>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</si>
  <si>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SAFE Series "TWO"</t>
  </si>
  <si>
    <t>Total SAFE Equity Units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</si>
  <si>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</si>
  <si>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</si>
  <si>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</si>
  <si>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</si>
  <si>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</si>
  <si>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</si>
  <si>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</si>
  <si>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</si>
  <si>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</si>
  <si>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</si>
  <si>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</si>
  <si>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</si>
  <si>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</si>
  <si>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</si>
  <si>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</si>
  <si>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</si>
  <si>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</si>
  <si>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</si>
  <si>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</si>
  <si>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</si>
  <si>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</si>
  <si>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</si>
  <si>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</si>
  <si>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</si>
  <si>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</si>
  <si>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</si>
  <si>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</si>
  <si>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</si>
  <si>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</si>
  <si>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</si>
  <si>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</si>
  <si>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</si>
  <si>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</si>
  <si>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</si>
  <si>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</si>
  <si>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</si>
  <si>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</si>
  <si>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</si>
  <si>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</si>
  <si>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</si>
  <si>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</si>
  <si>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</si>
  <si>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</si>
  <si>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</si>
  <si>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</si>
  <si>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</si>
  <si>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</si>
  <si>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</si>
  <si>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</si>
  <si>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</si>
  <si>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</si>
  <si>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</si>
  <si>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</si>
  <si>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</si>
  <si>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</si>
  <si>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</si>
  <si>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</si>
  <si>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</si>
  <si>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</si>
  <si>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</si>
  <si>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</si>
  <si>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</si>
  <si>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</si>
  <si>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</si>
  <si>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</si>
  <si>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</si>
  <si>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</si>
  <si>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</si>
  <si>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</si>
  <si>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</si>
  <si>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</si>
  <si>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</si>
  <si>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</si>
  <si>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</si>
  <si>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</si>
  <si>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</si>
  <si>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(i.e., EXIT or ROUND A )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</si>
  <si>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</si>
  <si>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</si>
  <si>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</si>
  <si>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</si>
  <si>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</si>
  <si>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</si>
  <si>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</si>
  <si>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</si>
  <si>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</si>
  <si>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</si>
  <si>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</si>
  <si>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</si>
  <si>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</si>
  <si>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</si>
  <si>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</si>
  <si>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</si>
  <si>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</si>
  <si>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</si>
  <si>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</si>
  <si>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</si>
  <si>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</si>
  <si>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</si>
  <si>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</si>
  <si>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</si>
  <si>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</si>
  <si>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</si>
  <si>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</si>
  <si>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</si>
  <si>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</si>
  <si>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</si>
  <si>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</si>
  <si>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</si>
  <si>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</si>
  <si>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</si>
  <si>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</si>
  <si>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</si>
  <si>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</si>
  <si>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</si>
  <si>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</si>
  <si>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</si>
  <si>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</si>
  <si>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</si>
  <si>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</si>
  <si>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</si>
  <si>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</si>
  <si>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</si>
  <si>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</si>
  <si>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</si>
  <si>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</si>
  <si>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</si>
  <si>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</si>
  <si>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</si>
  <si>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</si>
  <si>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</si>
  <si>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</si>
  <si>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</si>
  <si>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</si>
  <si>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</si>
  <si>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</si>
  <si>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</si>
  <si>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</si>
  <si>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</si>
  <si>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</si>
  <si>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</si>
  <si>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</si>
  <si>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</si>
  <si>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</si>
  <si>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</si>
  <si>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</si>
  <si>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</si>
  <si>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</si>
  <si>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</si>
  <si>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</si>
  <si>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</si>
  <si>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</si>
  <si>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</si>
  <si>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</si>
  <si>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</si>
  <si>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</si>
  <si>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</si>
  <si>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</si>
  <si>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</si>
  <si>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</si>
  <si>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</si>
  <si>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</si>
  <si>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</si>
  <si>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</si>
  <si>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</si>
  <si>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</si>
  <si>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</si>
  <si>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</si>
  <si>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</si>
  <si>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</si>
  <si>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</si>
  <si>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</si>
  <si>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</si>
  <si>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</si>
  <si>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</si>
  <si>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</si>
  <si>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</si>
  <si>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</si>
  <si>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</si>
  <si>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</si>
  <si>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</si>
  <si>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</si>
  <si>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</si>
  <si>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</si>
  <si>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</si>
  <si>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</si>
  <si>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</si>
  <si>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</si>
  <si>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</si>
  <si>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</si>
  <si>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</si>
  <si>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</si>
  <si>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</si>
  <si>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</si>
  <si>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</si>
  <si>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</si>
  <si>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</si>
  <si>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</si>
  <si>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</si>
  <si>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</si>
  <si>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</si>
  <si>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</si>
  <si>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</si>
  <si>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</si>
  <si>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</si>
  <si>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</si>
  <si>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</si>
  <si>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</si>
  <si>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</si>
  <si>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</si>
  <si>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</si>
  <si>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</si>
  <si>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</si>
  <si>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</si>
  <si>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</si>
  <si>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</si>
  <si>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</si>
  <si>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</si>
  <si>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</si>
  <si>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</si>
  <si>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</si>
  <si>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</si>
  <si>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</si>
  <si>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</si>
  <si>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</si>
  <si>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</si>
  <si>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</si>
  <si>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</si>
  <si>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</si>
  <si>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</si>
  <si>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</si>
  <si>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</si>
  <si>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</si>
  <si>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</si>
  <si>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</si>
  <si>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</si>
  <si>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</si>
  <si>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</si>
  <si>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</si>
  <si>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</si>
  <si>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</si>
  <si>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</si>
  <si>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</si>
  <si>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</si>
  <si>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</si>
  <si>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</si>
  <si>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</si>
  <si>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</si>
  <si>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</si>
  <si>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</si>
  <si>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</si>
  <si>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</si>
  <si>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DEMONSTRATION EXAMPLE VALUES ONLY</t>
  </si>
  <si>
    <t>PRE-MONEY EXIT VALUATION</t>
  </si>
  <si>
    <t xml:space="preserve"> SAFE EQUITY INVESTMENT:</t>
  </si>
  <si>
    <t>EVENT VALUATION:</t>
  </si>
  <si>
    <t>INCREASED SAFE EQUITY</t>
  </si>
  <si>
    <t>EVENT</t>
  </si>
  <si>
    <r>
      <rPr>
        <b/>
        <sz val="14"/>
        <color theme="0"/>
        <rFont val="Calibri"/>
        <scheme val="minor"/>
      </rPr>
      <t>Scenario</t>
    </r>
    <r>
      <rPr>
        <sz val="14"/>
        <color theme="0"/>
        <rFont val="Calibri"/>
        <scheme val="minor"/>
      </rPr>
      <t xml:space="preserve">:  </t>
    </r>
    <r>
      <rPr>
        <b/>
        <sz val="14"/>
        <color theme="0"/>
        <rFont val="Calibri"/>
        <scheme val="minor"/>
      </rPr>
      <t>$50,000,000</t>
    </r>
    <r>
      <rPr>
        <sz val="14"/>
        <color theme="0"/>
        <rFont val="Calibri"/>
        <scheme val="minor"/>
      </rPr>
      <t xml:space="preserve"> ROUND "A" VALUATION, EXIT VALUATION AT </t>
    </r>
    <r>
      <rPr>
        <b/>
        <sz val="14"/>
        <color theme="0"/>
        <rFont val="Calibri"/>
        <scheme val="minor"/>
      </rPr>
      <t>$125,000,000</t>
    </r>
    <r>
      <rPr>
        <sz val="14"/>
        <color theme="0"/>
        <rFont val="Calibri"/>
        <scheme val="minor"/>
      </rPr>
      <t xml:space="preserve">, </t>
    </r>
  </si>
  <si>
    <r>
      <t>PURCHASE</t>
    </r>
    <r>
      <rPr>
        <b/>
        <sz val="14"/>
        <color theme="0"/>
        <rFont val="Calibri"/>
        <scheme val="minor"/>
      </rPr>
      <t xml:space="preserve"> OF SAFE UNIT @ $250,000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</si>
  <si>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>CAP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</si>
  <si>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</si>
  <si>
    <t>TOTAL SAFE BONUS</t>
  </si>
  <si>
    <t>COMMON EQUITY</t>
  </si>
  <si>
    <t xml:space="preserve">                   TOTAL EXIT EQUITY</t>
  </si>
  <si>
    <t>CKA CO-FOUNDER ALLOCATIONS</t>
  </si>
  <si>
    <t>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</si>
</sst>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theme="5" tint="-0.499984740745262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8"/>
      <color theme="1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b/>
      <sz val="24"/>
      <color theme="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  <font>
      <sz val="14"/>
      <color rgb="FF000000"/>
      <name val="Calibri"/>
      <scheme val="minor"/>
    </font>
    <font>
      <sz val="14"/>
      <color theme="0"/>
      <name val="Calibri"/>
      <scheme val="minor"/>
    </font>
    <font>
      <b/>
      <sz val="14"/>
      <color rgb="FF000000"/>
      <name val="Calibri"/>
      <scheme val="minor"/>
    </font>
    <font>
      <sz val="14"/>
      <color rgb="FF0000FF"/>
      <name val="Calibri"/>
      <scheme val="minor"/>
    </font>
    <font>
      <sz val="14"/>
      <color theme="0" tint="-0.14999847407452621"/>
      <name val="Calibri"/>
      <scheme val="minor"/>
    </font>
    <font>
      <i/>
      <sz val="14"/>
      <color theme="0"/>
      <name val="Calibri"/>
      <scheme val="minor"/>
    </font>
    <font>
      <b/>
      <sz val="14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b/>
      <sz val="14"/>
      <color rgb="FF660066"/>
      <name val="Calibri"/>
      <scheme val="minor"/>
    </font>
    <font>
      <b/>
      <sz val="18"/>
      <color rgb="FFFF0000"/>
      <name val="Calibri"/>
      <scheme val="minor"/>
    </font>
    <font>
      <b/>
      <sz val="18"/>
      <color theme="3" tint="-0.249977111117893"/>
      <name val="Calibri"/>
      <scheme val="minor"/>
    </font>
    <font>
      <b/>
      <sz val="18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6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20">
    <xf numFmtId="0" fontId="0" fillId="0" borderId="0" xfId="0"/>
    <xf numFmtId="6" fontId="0" fillId="0" borderId="0" xfId="0" applyNumberFormat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Border="1"/>
    <xf numFmtId="6" fontId="5" fillId="0" borderId="0" xfId="0" applyNumberFormat="1" applyFont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11" fillId="0" borderId="0" xfId="0" applyFont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9" fillId="3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0" fillId="0" borderId="7" xfId="0" applyBorder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22" fillId="0" borderId="0" xfId="0" applyFont="1"/>
    <xf numFmtId="164" fontId="12" fillId="0" borderId="29" xfId="0" applyNumberFormat="1" applyFont="1" applyBorder="1"/>
    <xf numFmtId="164" fontId="12" fillId="3" borderId="29" xfId="0" applyNumberFormat="1" applyFont="1" applyFill="1" applyBorder="1"/>
    <xf numFmtId="6" fontId="28" fillId="0" borderId="55" xfId="0" applyNumberFormat="1" applyFont="1" applyBorder="1" applyAlignment="1">
      <alignment horizontal="center"/>
    </xf>
    <xf numFmtId="3" fontId="29" fillId="0" borderId="55" xfId="0" applyNumberFormat="1" applyFont="1" applyBorder="1" applyAlignment="1">
      <alignment horizontal="center"/>
    </xf>
    <xf numFmtId="0" fontId="29" fillId="9" borderId="60" xfId="0" applyFont="1" applyFill="1" applyBorder="1" applyAlignment="1">
      <alignment horizontal="center"/>
    </xf>
    <xf numFmtId="0" fontId="0" fillId="9" borderId="61" xfId="0" applyFill="1" applyBorder="1"/>
    <xf numFmtId="0" fontId="32" fillId="9" borderId="62" xfId="0" applyFont="1" applyFill="1" applyBorder="1"/>
    <xf numFmtId="0" fontId="32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29" fillId="9" borderId="67" xfId="0" applyFont="1" applyFill="1" applyBorder="1" applyAlignment="1">
      <alignment horizontal="center"/>
    </xf>
    <xf numFmtId="166" fontId="29" fillId="9" borderId="69" xfId="831" applyNumberFormat="1" applyFont="1" applyFill="1" applyBorder="1" applyAlignment="1">
      <alignment horizontal="center"/>
    </xf>
    <xf numFmtId="169" fontId="29" fillId="9" borderId="71" xfId="0" applyNumberFormat="1" applyFont="1" applyFill="1" applyBorder="1"/>
    <xf numFmtId="0" fontId="29" fillId="10" borderId="66" xfId="0" applyFont="1" applyFill="1" applyBorder="1" applyAlignment="1">
      <alignment horizontal="center"/>
    </xf>
    <xf numFmtId="0" fontId="26" fillId="10" borderId="67" xfId="0" applyFont="1" applyFill="1" applyBorder="1" applyAlignment="1">
      <alignment horizontal="center"/>
    </xf>
    <xf numFmtId="169" fontId="35" fillId="10" borderId="72" xfId="980" applyNumberFormat="1" applyFont="1" applyFill="1" applyBorder="1" applyAlignment="1">
      <alignment horizontal="right"/>
    </xf>
    <xf numFmtId="9" fontId="35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29" fillId="10" borderId="67" xfId="0" applyFont="1" applyFill="1" applyBorder="1" applyAlignment="1">
      <alignment horizontal="center"/>
    </xf>
    <xf numFmtId="169" fontId="29" fillId="10" borderId="71" xfId="0" applyNumberFormat="1" applyFont="1" applyFill="1" applyBorder="1"/>
    <xf numFmtId="166" fontId="29" fillId="10" borderId="69" xfId="0" applyNumberFormat="1" applyFont="1" applyFill="1" applyBorder="1" applyAlignment="1">
      <alignment horizontal="center"/>
    </xf>
    <xf numFmtId="0" fontId="29" fillId="11" borderId="60" xfId="0" applyFont="1" applyFill="1" applyBorder="1" applyAlignment="1">
      <alignment horizontal="center"/>
    </xf>
    <xf numFmtId="0" fontId="26" fillId="11" borderId="61" xfId="0" applyFont="1" applyFill="1" applyBorder="1" applyAlignment="1">
      <alignment horizontal="center"/>
    </xf>
    <xf numFmtId="0" fontId="29" fillId="11" borderId="75" xfId="0" applyFont="1" applyFill="1" applyBorder="1" applyAlignment="1">
      <alignment horizontal="center"/>
    </xf>
    <xf numFmtId="0" fontId="29" fillId="12" borderId="66" xfId="0" applyFont="1" applyFill="1" applyBorder="1" applyAlignment="1">
      <alignment horizontal="center"/>
    </xf>
    <xf numFmtId="0" fontId="26" fillId="12" borderId="67" xfId="0" applyFont="1" applyFill="1" applyBorder="1" applyAlignment="1">
      <alignment horizontal="center"/>
    </xf>
    <xf numFmtId="169" fontId="35" fillId="12" borderId="72" xfId="980" applyNumberFormat="1" applyFont="1" applyFill="1" applyBorder="1" applyAlignment="1">
      <alignment horizontal="right"/>
    </xf>
    <xf numFmtId="9" fontId="35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29" fillId="12" borderId="75" xfId="0" applyFont="1" applyFill="1" applyBorder="1" applyAlignment="1">
      <alignment horizontal="center"/>
    </xf>
    <xf numFmtId="166" fontId="34" fillId="12" borderId="80" xfId="831" applyNumberFormat="1" applyFont="1" applyFill="1" applyBorder="1" applyAlignment="1">
      <alignment horizontal="center"/>
    </xf>
    <xf numFmtId="169" fontId="29" fillId="12" borderId="81" xfId="980" applyNumberFormat="1" applyFont="1" applyFill="1" applyBorder="1" applyAlignment="1">
      <alignment horizontal="right"/>
    </xf>
    <xf numFmtId="166" fontId="29" fillId="12" borderId="80" xfId="0" applyNumberFormat="1" applyFont="1" applyFill="1" applyBorder="1" applyAlignment="1">
      <alignment horizontal="center"/>
    </xf>
    <xf numFmtId="169" fontId="34" fillId="12" borderId="81" xfId="980" applyNumberFormat="1" applyFont="1" applyFill="1" applyBorder="1" applyAlignment="1">
      <alignment horizontal="right"/>
    </xf>
    <xf numFmtId="171" fontId="29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25" fillId="9" borderId="66" xfId="0" applyFont="1" applyFill="1" applyBorder="1" applyAlignment="1">
      <alignment horizontal="center"/>
    </xf>
    <xf numFmtId="0" fontId="25" fillId="10" borderId="66" xfId="0" applyFont="1" applyFill="1" applyBorder="1" applyAlignment="1">
      <alignment horizontal="center"/>
    </xf>
    <xf numFmtId="0" fontId="25" fillId="11" borderId="74" xfId="0" applyFont="1" applyFill="1" applyBorder="1" applyAlignment="1">
      <alignment horizontal="center"/>
    </xf>
    <xf numFmtId="0" fontId="25" fillId="3" borderId="48" xfId="0" applyFont="1" applyFill="1" applyBorder="1" applyAlignment="1"/>
    <xf numFmtId="0" fontId="29" fillId="3" borderId="50" xfId="0" applyFont="1" applyFill="1" applyBorder="1" applyAlignment="1">
      <alignment horizontal="center"/>
    </xf>
    <xf numFmtId="3" fontId="33" fillId="3" borderId="50" xfId="980" applyNumberFormat="1" applyFont="1" applyFill="1" applyBorder="1" applyAlignment="1">
      <alignment horizontal="center"/>
    </xf>
    <xf numFmtId="166" fontId="34" fillId="3" borderId="50" xfId="831" applyNumberFormat="1" applyFont="1" applyFill="1" applyBorder="1" applyAlignment="1">
      <alignment horizontal="center"/>
    </xf>
    <xf numFmtId="169" fontId="29" fillId="3" borderId="50" xfId="0" applyNumberFormat="1" applyFont="1" applyFill="1" applyBorder="1"/>
    <xf numFmtId="169" fontId="29" fillId="3" borderId="50" xfId="980" applyNumberFormat="1" applyFont="1" applyFill="1" applyBorder="1" applyAlignment="1">
      <alignment horizontal="right"/>
    </xf>
    <xf numFmtId="166" fontId="29" fillId="3" borderId="50" xfId="0" applyNumberFormat="1" applyFont="1" applyFill="1" applyBorder="1" applyAlignment="1">
      <alignment horizontal="center"/>
    </xf>
    <xf numFmtId="169" fontId="33" fillId="3" borderId="50" xfId="0" applyNumberFormat="1" applyFont="1" applyFill="1" applyBorder="1"/>
    <xf numFmtId="169" fontId="34" fillId="3" borderId="50" xfId="980" applyNumberFormat="1" applyFont="1" applyFill="1" applyBorder="1" applyAlignment="1">
      <alignment horizontal="right"/>
    </xf>
    <xf numFmtId="0" fontId="25" fillId="12" borderId="74" xfId="0" applyFont="1" applyFill="1" applyBorder="1" applyAlignment="1">
      <alignment horizontal="center"/>
    </xf>
    <xf numFmtId="171" fontId="29" fillId="13" borderId="66" xfId="981" applyNumberFormat="1" applyFont="1" applyFill="1" applyBorder="1"/>
    <xf numFmtId="171" fontId="29" fillId="2" borderId="66" xfId="981" applyNumberFormat="1" applyFont="1" applyFill="1" applyBorder="1"/>
    <xf numFmtId="171" fontId="29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25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25" fillId="3" borderId="66" xfId="0" applyFont="1" applyFill="1" applyBorder="1" applyAlignment="1">
      <alignment horizontal="right"/>
    </xf>
    <xf numFmtId="0" fontId="26" fillId="3" borderId="67" xfId="0" applyFont="1" applyFill="1" applyBorder="1" applyAlignment="1">
      <alignment horizontal="center"/>
    </xf>
    <xf numFmtId="169" fontId="35" fillId="3" borderId="72" xfId="980" applyNumberFormat="1" applyFont="1" applyFill="1" applyBorder="1" applyAlignment="1">
      <alignment horizontal="right"/>
    </xf>
    <xf numFmtId="9" fontId="35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0" fillId="8" borderId="59" xfId="0" applyFont="1" applyFill="1" applyBorder="1" applyAlignment="1">
      <alignment horizontal="center" vertical="center"/>
    </xf>
    <xf numFmtId="0" fontId="30" fillId="8" borderId="59" xfId="0" applyFont="1" applyFill="1" applyBorder="1" applyAlignment="1">
      <alignment horizontal="center" vertical="center" wrapText="1"/>
    </xf>
    <xf numFmtId="6" fontId="31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1" fillId="9" borderId="68" xfId="980" applyNumberFormat="1" applyFont="1" applyFill="1" applyBorder="1" applyAlignment="1">
      <alignment horizontal="center"/>
    </xf>
    <xf numFmtId="3" fontId="31" fillId="12" borderId="79" xfId="980" applyNumberFormat="1" applyFont="1" applyFill="1" applyBorder="1" applyAlignment="1">
      <alignment horizontal="center"/>
    </xf>
    <xf numFmtId="164" fontId="23" fillId="0" borderId="29" xfId="0" applyNumberFormat="1" applyFont="1" applyBorder="1"/>
    <xf numFmtId="0" fontId="11" fillId="0" borderId="0" xfId="0" applyFont="1"/>
    <xf numFmtId="0" fontId="0" fillId="0" borderId="97" xfId="0" applyBorder="1"/>
    <xf numFmtId="0" fontId="0" fillId="0" borderId="98" xfId="0" applyBorder="1"/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28" fillId="0" borderId="55" xfId="0" applyNumberFormat="1" applyFont="1" applyBorder="1" applyAlignment="1">
      <alignment horizontal="center"/>
    </xf>
    <xf numFmtId="171" fontId="37" fillId="0" borderId="82" xfId="0" applyNumberFormat="1" applyFont="1" applyBorder="1"/>
    <xf numFmtId="0" fontId="3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9" fillId="0" borderId="29" xfId="0" applyFont="1" applyBorder="1"/>
    <xf numFmtId="0" fontId="7" fillId="0" borderId="0" xfId="0" applyFont="1"/>
    <xf numFmtId="0" fontId="12" fillId="0" borderId="0" xfId="0" applyFont="1" applyAlignment="1">
      <alignment vertical="top"/>
    </xf>
    <xf numFmtId="0" fontId="9" fillId="14" borderId="0" xfId="0" applyFont="1" applyFill="1" applyAlignment="1">
      <alignment horizontal="center"/>
    </xf>
    <xf numFmtId="0" fontId="9" fillId="14" borderId="10" xfId="0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42" fillId="0" borderId="0" xfId="0" applyFont="1" applyBorder="1"/>
    <xf numFmtId="167" fontId="29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44" fillId="0" borderId="0" xfId="0" applyNumberFormat="1" applyFont="1" applyBorder="1"/>
    <xf numFmtId="0" fontId="22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2" fillId="0" borderId="0" xfId="0" applyFont="1" applyAlignment="1">
      <alignment horizontal="left"/>
    </xf>
    <xf numFmtId="0" fontId="43" fillId="0" borderId="0" xfId="0" applyFont="1" applyBorder="1" applyAlignment="1">
      <alignment horizontal="left"/>
    </xf>
    <xf numFmtId="3" fontId="0" fillId="0" borderId="0" xfId="0" applyNumberFormat="1"/>
    <xf numFmtId="3" fontId="40" fillId="0" borderId="57" xfId="0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top"/>
    </xf>
    <xf numFmtId="0" fontId="26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29" fillId="3" borderId="111" xfId="980" applyNumberFormat="1" applyFont="1" applyFill="1" applyBorder="1" applyAlignment="1">
      <alignment horizontal="center"/>
    </xf>
    <xf numFmtId="3" fontId="29" fillId="3" borderId="114" xfId="980" applyNumberFormat="1" applyFont="1" applyFill="1" applyBorder="1" applyAlignment="1">
      <alignment horizontal="center"/>
    </xf>
    <xf numFmtId="3" fontId="29" fillId="3" borderId="112" xfId="980" applyNumberFormat="1" applyFont="1" applyFill="1" applyBorder="1" applyAlignment="1">
      <alignment horizontal="center"/>
    </xf>
    <xf numFmtId="3" fontId="29" fillId="3" borderId="115" xfId="980" applyNumberFormat="1" applyFont="1" applyFill="1" applyBorder="1" applyAlignment="1">
      <alignment horizontal="center"/>
    </xf>
    <xf numFmtId="171" fontId="29" fillId="4" borderId="116" xfId="981" applyNumberFormat="1" applyFont="1" applyFill="1" applyBorder="1"/>
    <xf numFmtId="171" fontId="29" fillId="3" borderId="111" xfId="981" applyNumberFormat="1" applyFont="1" applyFill="1" applyBorder="1"/>
    <xf numFmtId="171" fontId="29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42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35" fillId="11" borderId="62" xfId="980" applyNumberFormat="1" applyFont="1" applyFill="1" applyBorder="1" applyAlignment="1">
      <alignment horizontal="right"/>
    </xf>
    <xf numFmtId="9" fontId="35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29" fillId="11" borderId="64" xfId="0" applyNumberFormat="1" applyFont="1" applyFill="1" applyBorder="1"/>
    <xf numFmtId="9" fontId="29" fillId="11" borderId="63" xfId="0" applyNumberFormat="1" applyFont="1" applyFill="1" applyBorder="1" applyAlignment="1">
      <alignment horizontal="center"/>
    </xf>
    <xf numFmtId="169" fontId="35" fillId="11" borderId="79" xfId="980" applyNumberFormat="1" applyFont="1" applyFill="1" applyBorder="1" applyAlignment="1">
      <alignment horizontal="right"/>
    </xf>
    <xf numFmtId="9" fontId="35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25" fillId="3" borderId="67" xfId="0" applyFont="1" applyFill="1" applyBorder="1" applyAlignment="1">
      <alignment horizontal="right"/>
    </xf>
    <xf numFmtId="0" fontId="26" fillId="3" borderId="111" xfId="0" applyFont="1" applyFill="1" applyBorder="1" applyAlignment="1">
      <alignment horizontal="center"/>
    </xf>
    <xf numFmtId="169" fontId="35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26" fillId="3" borderId="53" xfId="0" applyFont="1" applyFill="1" applyBorder="1" applyAlignment="1">
      <alignment horizontal="center"/>
    </xf>
    <xf numFmtId="169" fontId="35" fillId="3" borderId="53" xfId="980" applyNumberFormat="1" applyFont="1" applyFill="1" applyBorder="1" applyAlignment="1">
      <alignment horizontal="right"/>
    </xf>
    <xf numFmtId="9" fontId="35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29" fillId="0" borderId="59" xfId="0" applyFont="1" applyBorder="1" applyAlignment="1">
      <alignment horizontal="center"/>
    </xf>
    <xf numFmtId="0" fontId="0" fillId="0" borderId="82" xfId="0" applyBorder="1"/>
    <xf numFmtId="3" fontId="34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29" fillId="0" borderId="125" xfId="0" applyNumberFormat="1" applyFont="1" applyBorder="1"/>
    <xf numFmtId="9" fontId="29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0" fillId="0" borderId="124" xfId="0" applyNumberFormat="1" applyFont="1" applyBorder="1" applyAlignment="1">
      <alignment horizontal="center"/>
    </xf>
    <xf numFmtId="0" fontId="25" fillId="3" borderId="48" xfId="0" applyFont="1" applyFill="1" applyBorder="1" applyAlignment="1">
      <alignment horizontal="right"/>
    </xf>
    <xf numFmtId="166" fontId="29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48" fillId="0" borderId="0" xfId="0" applyFont="1" applyAlignment="1">
      <alignment vertical="top"/>
    </xf>
    <xf numFmtId="6" fontId="0" fillId="0" borderId="0" xfId="0" applyNumberFormat="1" applyBorder="1"/>
    <xf numFmtId="0" fontId="22" fillId="0" borderId="0" xfId="0" applyFont="1" applyFill="1" applyBorder="1" applyAlignment="1">
      <alignment horizontal="right"/>
    </xf>
    <xf numFmtId="6" fontId="50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29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53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0" fontId="44" fillId="0" borderId="0" xfId="0" applyFont="1" applyAlignment="1">
      <alignment horizontal="right"/>
    </xf>
    <xf numFmtId="10" fontId="25" fillId="0" borderId="55" xfId="0" applyNumberFormat="1" applyFont="1" applyBorder="1" applyAlignment="1">
      <alignment horizontal="center"/>
    </xf>
    <xf numFmtId="6" fontId="42" fillId="0" borderId="87" xfId="0" applyNumberFormat="1" applyFont="1" applyBorder="1"/>
    <xf numFmtId="6" fontId="11" fillId="0" borderId="87" xfId="0" applyNumberFormat="1" applyFont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0" fontId="12" fillId="0" borderId="0" xfId="0" applyFont="1" applyBorder="1" applyAlignment="1">
      <alignment horizontal="center" vertic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33" fillId="12" borderId="79" xfId="0" applyNumberFormat="1" applyFont="1" applyFill="1" applyBorder="1"/>
    <xf numFmtId="0" fontId="0" fillId="10" borderId="68" xfId="0" applyFill="1" applyBorder="1"/>
    <xf numFmtId="169" fontId="25" fillId="10" borderId="68" xfId="0" applyNumberFormat="1" applyFont="1" applyFill="1" applyBorder="1"/>
    <xf numFmtId="169" fontId="25" fillId="11" borderId="62" xfId="0" applyNumberFormat="1" applyFont="1" applyFill="1" applyBorder="1"/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29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35" fillId="10" borderId="131" xfId="831" applyFont="1" applyFill="1" applyBorder="1" applyAlignment="1">
      <alignment horizontal="center"/>
    </xf>
    <xf numFmtId="9" fontId="35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7" fillId="0" borderId="0" xfId="0" applyFont="1"/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55" fillId="0" borderId="132" xfId="0" applyNumberFormat="1" applyFont="1" applyBorder="1" applyAlignment="1">
      <alignment horizontal="center"/>
    </xf>
    <xf numFmtId="0" fontId="55" fillId="0" borderId="132" xfId="0" applyFont="1" applyBorder="1" applyAlignment="1">
      <alignment horizontal="center"/>
    </xf>
    <xf numFmtId="169" fontId="55" fillId="0" borderId="132" xfId="0" applyNumberFormat="1" applyFont="1" applyBorder="1" applyAlignment="1">
      <alignment horizontal="center"/>
    </xf>
    <xf numFmtId="0" fontId="21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49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7" fillId="0" borderId="0" xfId="0" applyFont="1"/>
    <xf numFmtId="0" fontId="20" fillId="0" borderId="137" xfId="0" applyFont="1" applyBorder="1" applyAlignment="1">
      <alignment horizontal="center"/>
    </xf>
    <xf numFmtId="164" fontId="49" fillId="3" borderId="0" xfId="0" applyNumberFormat="1" applyFont="1" applyFill="1" applyBorder="1" applyAlignment="1">
      <alignment horizontal="left"/>
    </xf>
    <xf numFmtId="164" fontId="49" fillId="0" borderId="0" xfId="0" applyNumberFormat="1" applyFont="1"/>
    <xf numFmtId="9" fontId="49" fillId="0" borderId="0" xfId="0" applyNumberFormat="1" applyFont="1"/>
    <xf numFmtId="9" fontId="49" fillId="0" borderId="0" xfId="0" applyNumberFormat="1" applyFont="1" applyAlignment="1">
      <alignment horizontal="right"/>
    </xf>
    <xf numFmtId="164" fontId="20" fillId="0" borderId="0" xfId="0" applyNumberFormat="1" applyFont="1"/>
    <xf numFmtId="0" fontId="19" fillId="0" borderId="137" xfId="0" applyFont="1" applyBorder="1" applyAlignment="1">
      <alignment horizontal="center"/>
    </xf>
    <xf numFmtId="164" fontId="19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7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7" fillId="0" borderId="0" xfId="0" applyNumberFormat="1" applyFont="1"/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0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164" fontId="18" fillId="0" borderId="0" xfId="0" applyNumberFormat="1" applyFont="1"/>
    <xf numFmtId="0" fontId="21" fillId="0" borderId="0" xfId="0" applyFont="1"/>
    <xf numFmtId="9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175" fontId="5" fillId="0" borderId="0" xfId="0" applyNumberFormat="1" applyFont="1"/>
    <xf numFmtId="0" fontId="16" fillId="0" borderId="0" xfId="0" applyFont="1"/>
    <xf numFmtId="0" fontId="58" fillId="0" borderId="0" xfId="0" applyFont="1"/>
    <xf numFmtId="0" fontId="7" fillId="0" borderId="0" xfId="0" applyFont="1" applyAlignment="1">
      <alignment horizontal="center"/>
    </xf>
    <xf numFmtId="0" fontId="51" fillId="0" borderId="0" xfId="0" applyFont="1"/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4" fillId="0" borderId="0" xfId="0" applyFont="1"/>
    <xf numFmtId="0" fontId="7" fillId="0" borderId="0" xfId="0" applyFont="1" applyAlignment="1">
      <alignment horizontal="right"/>
    </xf>
    <xf numFmtId="166" fontId="2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47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19" fillId="0" borderId="0" xfId="0" applyFont="1" applyAlignment="1">
      <alignment horizontal="right"/>
    </xf>
    <xf numFmtId="0" fontId="19" fillId="0" borderId="0" xfId="0" applyFont="1"/>
    <xf numFmtId="6" fontId="0" fillId="0" borderId="0" xfId="0" applyNumberFormat="1" applyFill="1" applyBorder="1" applyProtection="1">
      <protection locked="0"/>
    </xf>
    <xf numFmtId="164" fontId="59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60" fillId="0" borderId="7" xfId="0" applyFont="1" applyBorder="1" applyAlignment="1">
      <alignment horizontal="center"/>
    </xf>
    <xf numFmtId="0" fontId="60" fillId="0" borderId="96" xfId="0" applyFont="1" applyBorder="1" applyAlignment="1">
      <alignment horizontal="center"/>
    </xf>
    <xf numFmtId="6" fontId="17" fillId="0" borderId="0" xfId="0" applyNumberFormat="1" applyFont="1"/>
    <xf numFmtId="0" fontId="20" fillId="0" borderId="0" xfId="0" applyFont="1" applyFill="1" applyBorder="1" applyAlignment="1">
      <alignment horizontal="center"/>
    </xf>
    <xf numFmtId="6" fontId="49" fillId="0" borderId="0" xfId="0" applyNumberFormat="1" applyFont="1" applyFill="1" applyBorder="1" applyAlignment="1">
      <alignment horizontal="right"/>
    </xf>
    <xf numFmtId="0" fontId="16" fillId="0" borderId="0" xfId="0" applyFont="1" applyAlignment="1">
      <alignment horizontal="right"/>
    </xf>
    <xf numFmtId="9" fontId="16" fillId="0" borderId="0" xfId="0" applyNumberFormat="1" applyFont="1"/>
    <xf numFmtId="174" fontId="20" fillId="0" borderId="0" xfId="0" applyNumberFormat="1" applyFont="1" applyFill="1" applyBorder="1" applyAlignment="1">
      <alignment horizontal="right"/>
    </xf>
    <xf numFmtId="10" fontId="49" fillId="0" borderId="0" xfId="0" applyNumberFormat="1" applyFont="1" applyFill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6" fontId="49" fillId="0" borderId="0" xfId="0" applyNumberFormat="1" applyFont="1" applyBorder="1" applyAlignment="1">
      <alignment horizontal="right"/>
    </xf>
    <xf numFmtId="10" fontId="18" fillId="0" borderId="0" xfId="0" applyNumberFormat="1" applyFont="1"/>
    <xf numFmtId="174" fontId="20" fillId="0" borderId="0" xfId="0" applyNumberFormat="1" applyFont="1" applyBorder="1" applyAlignment="1">
      <alignment horizontal="right"/>
    </xf>
    <xf numFmtId="10" fontId="49" fillId="0" borderId="0" xfId="0" applyNumberFormat="1" applyFont="1" applyBorder="1" applyAlignment="1">
      <alignment horizontal="right"/>
    </xf>
    <xf numFmtId="10" fontId="19" fillId="0" borderId="0" xfId="0" applyNumberFormat="1" applyFont="1"/>
    <xf numFmtId="164" fontId="17" fillId="0" borderId="0" xfId="0" applyNumberFormat="1" applyFont="1"/>
    <xf numFmtId="166" fontId="16" fillId="0" borderId="0" xfId="0" applyNumberFormat="1" applyFont="1"/>
    <xf numFmtId="0" fontId="20" fillId="0" borderId="0" xfId="0" applyFont="1"/>
    <xf numFmtId="166" fontId="20" fillId="0" borderId="0" xfId="0" applyNumberFormat="1" applyFont="1"/>
    <xf numFmtId="9" fontId="20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164" fontId="49" fillId="0" borderId="0" xfId="0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6" fontId="17" fillId="0" borderId="34" xfId="0" applyNumberFormat="1" applyFont="1" applyBorder="1" applyAlignment="1">
      <alignment horizontal="right"/>
    </xf>
    <xf numFmtId="174" fontId="16" fillId="0" borderId="34" xfId="0" applyNumberFormat="1" applyFont="1" applyBorder="1" applyAlignment="1">
      <alignment horizontal="right"/>
    </xf>
    <xf numFmtId="174" fontId="16" fillId="0" borderId="0" xfId="0" applyNumberFormat="1" applyFont="1" applyBorder="1" applyAlignment="1">
      <alignment horizontal="right"/>
    </xf>
    <xf numFmtId="10" fontId="17" fillId="0" borderId="0" xfId="0" applyNumberFormat="1" applyFont="1" applyBorder="1" applyAlignment="1">
      <alignment horizontal="right"/>
    </xf>
    <xf numFmtId="10" fontId="17" fillId="0" borderId="34" xfId="0" applyNumberFormat="1" applyFont="1" applyBorder="1" applyAlignment="1">
      <alignment horizontal="right"/>
    </xf>
    <xf numFmtId="10" fontId="49" fillId="0" borderId="12" xfId="0" applyNumberFormat="1" applyFont="1" applyBorder="1" applyAlignment="1">
      <alignment horizontal="right"/>
    </xf>
    <xf numFmtId="10" fontId="17" fillId="0" borderId="12" xfId="0" applyNumberFormat="1" applyFont="1" applyBorder="1" applyAlignment="1">
      <alignment horizontal="right"/>
    </xf>
    <xf numFmtId="10" fontId="17" fillId="0" borderId="129" xfId="0" applyNumberFormat="1" applyFont="1" applyBorder="1" applyAlignment="1">
      <alignment horizontal="right"/>
    </xf>
    <xf numFmtId="0" fontId="49" fillId="0" borderId="7" xfId="0" applyFont="1" applyBorder="1"/>
    <xf numFmtId="0" fontId="17" fillId="0" borderId="7" xfId="0" applyFont="1" applyBorder="1"/>
    <xf numFmtId="6" fontId="17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61" fillId="0" borderId="0" xfId="0" applyNumberFormat="1" applyFont="1"/>
    <xf numFmtId="0" fontId="61" fillId="0" borderId="0" xfId="0" applyFont="1"/>
    <xf numFmtId="10" fontId="0" fillId="0" borderId="0" xfId="0" applyNumberFormat="1" applyBorder="1" applyAlignment="1">
      <alignment horizontal="left"/>
    </xf>
    <xf numFmtId="0" fontId="0" fillId="2" borderId="49" xfId="0" applyFill="1" applyBorder="1" applyAlignment="1">
      <alignment horizontal="center" vertical="center"/>
    </xf>
    <xf numFmtId="169" fontId="63" fillId="10" borderId="68" xfId="0" applyNumberFormat="1" applyFont="1" applyFill="1" applyBorder="1"/>
    <xf numFmtId="169" fontId="64" fillId="10" borderId="71" xfId="0" applyNumberFormat="1" applyFont="1" applyFill="1" applyBorder="1" applyAlignment="1">
      <alignment horizontal="center"/>
    </xf>
    <xf numFmtId="166" fontId="64" fillId="10" borderId="69" xfId="0" applyNumberFormat="1" applyFont="1" applyFill="1" applyBorder="1" applyAlignment="1">
      <alignment horizontal="center"/>
    </xf>
    <xf numFmtId="169" fontId="65" fillId="11" borderId="79" xfId="0" applyNumberFormat="1" applyFont="1" applyFill="1" applyBorder="1"/>
    <xf numFmtId="169" fontId="62" fillId="11" borderId="81" xfId="0" applyNumberFormat="1" applyFont="1" applyFill="1" applyBorder="1"/>
    <xf numFmtId="166" fontId="62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164" fontId="44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6" fillId="0" borderId="54" xfId="0" applyFont="1" applyBorder="1" applyAlignment="1">
      <alignment horizontal="center"/>
    </xf>
    <xf numFmtId="10" fontId="26" fillId="0" borderId="54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24" fillId="14" borderId="51" xfId="0" applyFont="1" applyFill="1" applyBorder="1" applyAlignment="1">
      <alignment horizontal="center" vertical="center" wrapText="1"/>
    </xf>
    <xf numFmtId="0" fontId="24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30" fillId="8" borderId="48" xfId="0" applyFont="1" applyFill="1" applyBorder="1" applyAlignment="1">
      <alignment horizontal="center" vertical="center"/>
    </xf>
    <xf numFmtId="0" fontId="30" fillId="8" borderId="50" xfId="0" applyFont="1" applyFill="1" applyBorder="1" applyAlignment="1">
      <alignment horizontal="center" vertical="center"/>
    </xf>
    <xf numFmtId="0" fontId="30" fillId="8" borderId="49" xfId="0" applyFont="1" applyFill="1" applyBorder="1" applyAlignment="1">
      <alignment horizontal="center" vertical="center"/>
    </xf>
    <xf numFmtId="0" fontId="29" fillId="9" borderId="54" xfId="0" applyFont="1" applyFill="1" applyBorder="1" applyAlignment="1">
      <alignment horizontal="center"/>
    </xf>
    <xf numFmtId="0" fontId="29" fillId="9" borderId="0" xfId="0" applyFont="1" applyFill="1" applyBorder="1" applyAlignment="1">
      <alignment horizontal="center"/>
    </xf>
    <xf numFmtId="0" fontId="29" fillId="9" borderId="55" xfId="0" applyFont="1" applyFill="1" applyBorder="1" applyAlignment="1">
      <alignment horizontal="center"/>
    </xf>
    <xf numFmtId="0" fontId="25" fillId="9" borderId="77" xfId="0" applyFont="1" applyFill="1" applyBorder="1" applyAlignment="1">
      <alignment horizontal="center"/>
    </xf>
    <xf numFmtId="0" fontId="25" fillId="9" borderId="108" xfId="0" applyFont="1" applyFill="1" applyBorder="1" applyAlignment="1">
      <alignment horizontal="center"/>
    </xf>
    <xf numFmtId="0" fontId="25" fillId="9" borderId="113" xfId="0" applyFont="1" applyFill="1" applyBorder="1" applyAlignment="1">
      <alignment horizontal="center"/>
    </xf>
    <xf numFmtId="0" fontId="25" fillId="3" borderId="54" xfId="0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/>
    </xf>
    <xf numFmtId="0" fontId="29" fillId="12" borderId="117" xfId="0" applyFont="1" applyFill="1" applyBorder="1" applyAlignment="1">
      <alignment horizontal="center"/>
    </xf>
    <xf numFmtId="0" fontId="29" fillId="12" borderId="118" xfId="0" applyFont="1" applyFill="1" applyBorder="1" applyAlignment="1">
      <alignment horizontal="center"/>
    </xf>
    <xf numFmtId="0" fontId="29" fillId="12" borderId="119" xfId="0" applyFont="1" applyFill="1" applyBorder="1" applyAlignment="1">
      <alignment horizontal="center"/>
    </xf>
    <xf numFmtId="0" fontId="25" fillId="12" borderId="77" xfId="0" applyFont="1" applyFill="1" applyBorder="1" applyAlignment="1">
      <alignment horizontal="center"/>
    </xf>
    <xf numFmtId="0" fontId="25" fillId="12" borderId="108" xfId="0" applyFont="1" applyFill="1" applyBorder="1" applyAlignment="1">
      <alignment horizontal="center"/>
    </xf>
    <xf numFmtId="0" fontId="25" fillId="12" borderId="113" xfId="0" applyFont="1" applyFill="1" applyBorder="1" applyAlignment="1">
      <alignment horizontal="center"/>
    </xf>
    <xf numFmtId="0" fontId="29" fillId="10" borderId="117" xfId="0" applyFont="1" applyFill="1" applyBorder="1" applyAlignment="1">
      <alignment horizontal="center"/>
    </xf>
    <xf numFmtId="0" fontId="29" fillId="10" borderId="118" xfId="0" applyFont="1" applyFill="1" applyBorder="1" applyAlignment="1">
      <alignment horizontal="center"/>
    </xf>
    <xf numFmtId="0" fontId="29" fillId="10" borderId="119" xfId="0" applyFont="1" applyFill="1" applyBorder="1" applyAlignment="1">
      <alignment horizontal="center"/>
    </xf>
    <xf numFmtId="0" fontId="25" fillId="10" borderId="77" xfId="0" applyFont="1" applyFill="1" applyBorder="1" applyAlignment="1">
      <alignment horizontal="center"/>
    </xf>
    <xf numFmtId="0" fontId="25" fillId="10" borderId="108" xfId="0" applyFont="1" applyFill="1" applyBorder="1" applyAlignment="1">
      <alignment horizontal="center"/>
    </xf>
    <xf numFmtId="0" fontId="25" fillId="10" borderId="113" xfId="0" applyFont="1" applyFill="1" applyBorder="1" applyAlignment="1">
      <alignment horizontal="center"/>
    </xf>
    <xf numFmtId="0" fontId="29" fillId="11" borderId="117" xfId="0" applyFont="1" applyFill="1" applyBorder="1" applyAlignment="1">
      <alignment horizontal="center"/>
    </xf>
    <xf numFmtId="0" fontId="29" fillId="11" borderId="118" xfId="0" applyFont="1" applyFill="1" applyBorder="1" applyAlignment="1">
      <alignment horizontal="center"/>
    </xf>
    <xf numFmtId="0" fontId="29" fillId="11" borderId="119" xfId="0" applyFont="1" applyFill="1" applyBorder="1" applyAlignment="1">
      <alignment horizontal="center"/>
    </xf>
    <xf numFmtId="0" fontId="25" fillId="11" borderId="77" xfId="0" applyFont="1" applyFill="1" applyBorder="1" applyAlignment="1">
      <alignment horizontal="center"/>
    </xf>
    <xf numFmtId="0" fontId="25" fillId="11" borderId="108" xfId="0" applyFont="1" applyFill="1" applyBorder="1" applyAlignment="1">
      <alignment horizontal="center"/>
    </xf>
    <xf numFmtId="0" fontId="25" fillId="11" borderId="113" xfId="0" applyFont="1" applyFill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9" fillId="0" borderId="50" xfId="0" applyFont="1" applyBorder="1" applyAlignment="1">
      <alignment horizontal="center"/>
    </xf>
    <xf numFmtId="0" fontId="29" fillId="0" borderId="49" xfId="0" applyFont="1" applyBorder="1" applyAlignment="1">
      <alignment horizontal="center"/>
    </xf>
    <xf numFmtId="0" fontId="25" fillId="3" borderId="51" xfId="0" applyFont="1" applyFill="1" applyBorder="1" applyAlignment="1">
      <alignment horizontal="center" vertical="center"/>
    </xf>
    <xf numFmtId="0" fontId="25" fillId="3" borderId="53" xfId="0" applyFont="1" applyFill="1" applyBorder="1" applyAlignment="1">
      <alignment horizontal="center" vertical="center"/>
    </xf>
    <xf numFmtId="0" fontId="25" fillId="3" borderId="52" xfId="0" applyFont="1" applyFill="1" applyBorder="1" applyAlignment="1">
      <alignment horizontal="center" vertical="center"/>
    </xf>
    <xf numFmtId="0" fontId="25" fillId="3" borderId="54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55" xfId="0" applyFont="1" applyFill="1" applyBorder="1" applyAlignment="1">
      <alignment horizontal="center" vertical="center"/>
    </xf>
    <xf numFmtId="0" fontId="25" fillId="3" borderId="56" xfId="0" applyFont="1" applyFill="1" applyBorder="1" applyAlignment="1">
      <alignment horizontal="center" vertical="center"/>
    </xf>
    <xf numFmtId="0" fontId="25" fillId="3" borderId="58" xfId="0" applyFont="1" applyFill="1" applyBorder="1" applyAlignment="1">
      <alignment horizontal="center" vertical="center"/>
    </xf>
    <xf numFmtId="0" fontId="25" fillId="3" borderId="57" xfId="0" applyFont="1" applyFill="1" applyBorder="1" applyAlignment="1">
      <alignment horizontal="center" vertical="center"/>
    </xf>
    <xf numFmtId="0" fontId="27" fillId="0" borderId="54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56" xfId="0" applyFont="1" applyBorder="1" applyAlignment="1">
      <alignment horizontal="center" vertical="top"/>
    </xf>
    <xf numFmtId="0" fontId="27" fillId="0" borderId="58" xfId="0" applyFont="1" applyBorder="1" applyAlignment="1">
      <alignment horizontal="center" vertical="top"/>
    </xf>
    <xf numFmtId="0" fontId="38" fillId="3" borderId="51" xfId="0" applyFont="1" applyFill="1" applyBorder="1" applyAlignment="1">
      <alignment horizontal="center" vertical="center"/>
    </xf>
    <xf numFmtId="0" fontId="38" fillId="0" borderId="53" xfId="0" applyFont="1" applyBorder="1" applyAlignment="1">
      <alignment horizontal="center" vertical="center"/>
    </xf>
    <xf numFmtId="0" fontId="38" fillId="3" borderId="54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0" borderId="58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45" fillId="14" borderId="100" xfId="0" applyFont="1" applyFill="1" applyBorder="1" applyAlignment="1">
      <alignment horizontal="center"/>
    </xf>
    <xf numFmtId="0" fontId="42" fillId="0" borderId="101" xfId="0" applyFont="1" applyBorder="1" applyAlignment="1">
      <alignment horizontal="center"/>
    </xf>
    <xf numFmtId="0" fontId="42" fillId="0" borderId="102" xfId="0" applyFont="1" applyBorder="1" applyAlignment="1">
      <alignment horizontal="center"/>
    </xf>
    <xf numFmtId="0" fontId="41" fillId="2" borderId="51" xfId="0" applyFont="1" applyFill="1" applyBorder="1" applyAlignment="1">
      <alignment horizontal="center" vertical="center"/>
    </xf>
    <xf numFmtId="0" fontId="41" fillId="2" borderId="53" xfId="0" applyFont="1" applyFill="1" applyBorder="1" applyAlignment="1">
      <alignment horizontal="center" vertical="center"/>
    </xf>
    <xf numFmtId="0" fontId="41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36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9" fillId="3" borderId="24" xfId="0" applyFont="1" applyFill="1" applyBorder="1"/>
    <xf numFmtId="0" fontId="9" fillId="3" borderId="25" xfId="0" applyFont="1" applyFill="1" applyBorder="1"/>
    <xf numFmtId="0" fontId="12" fillId="3" borderId="25" xfId="0" applyFont="1" applyFill="1" applyBorder="1"/>
    <xf numFmtId="0" fontId="12" fillId="3" borderId="26" xfId="0" applyFont="1" applyFill="1" applyBorder="1"/>
    <xf numFmtId="0" fontId="9" fillId="0" borderId="18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9" fillId="3" borderId="126" xfId="0" applyFont="1" applyFill="1" applyBorder="1" applyAlignment="1">
      <alignment horizontal="center"/>
    </xf>
    <xf numFmtId="0" fontId="12" fillId="3" borderId="21" xfId="0" applyFont="1" applyFill="1" applyBorder="1"/>
    <xf numFmtId="0" fontId="67" fillId="0" borderId="0" xfId="0" applyFont="1"/>
    <xf numFmtId="0" fontId="12" fillId="0" borderId="19" xfId="0" applyFont="1" applyBorder="1"/>
    <xf numFmtId="0" fontId="44" fillId="3" borderId="9" xfId="0" applyFont="1" applyFill="1" applyBorder="1" applyAlignment="1">
      <alignment horizontal="center"/>
    </xf>
    <xf numFmtId="0" fontId="67" fillId="3" borderId="22" xfId="0" applyFont="1" applyFill="1" applyBorder="1"/>
    <xf numFmtId="0" fontId="12" fillId="0" borderId="19" xfId="0" applyFont="1" applyBorder="1" applyAlignment="1">
      <alignment horizontal="center"/>
    </xf>
    <xf numFmtId="6" fontId="12" fillId="7" borderId="5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>
      <alignment horizontal="center"/>
    </xf>
    <xf numFmtId="0" fontId="12" fillId="7" borderId="5" xfId="0" applyFont="1" applyFill="1" applyBorder="1" applyAlignment="1" applyProtection="1">
      <alignment horizontal="center"/>
      <protection locked="0"/>
    </xf>
    <xf numFmtId="0" fontId="12" fillId="0" borderId="0" xfId="0" applyFont="1" applyBorder="1"/>
    <xf numFmtId="6" fontId="9" fillId="0" borderId="0" xfId="0" applyNumberFormat="1" applyFont="1" applyBorder="1" applyAlignment="1">
      <alignment horizontal="center"/>
    </xf>
    <xf numFmtId="6" fontId="44" fillId="3" borderId="9" xfId="0" applyNumberFormat="1" applyFont="1" applyFill="1" applyBorder="1" applyAlignment="1">
      <alignment horizontal="center"/>
    </xf>
    <xf numFmtId="0" fontId="44" fillId="3" borderId="22" xfId="0" applyFont="1" applyFill="1" applyBorder="1"/>
    <xf numFmtId="0" fontId="12" fillId="0" borderId="20" xfId="0" applyFont="1" applyBorder="1"/>
    <xf numFmtId="0" fontId="12" fillId="0" borderId="2" xfId="0" applyFont="1" applyBorder="1"/>
    <xf numFmtId="0" fontId="12" fillId="3" borderId="127" xfId="0" applyFont="1" applyFill="1" applyBorder="1"/>
    <xf numFmtId="0" fontId="12" fillId="3" borderId="23" xfId="0" applyFont="1" applyFill="1" applyBorder="1"/>
    <xf numFmtId="0" fontId="12" fillId="7" borderId="28" xfId="0" applyFont="1" applyFill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9" fillId="0" borderId="2" xfId="0" applyFont="1" applyBorder="1"/>
    <xf numFmtId="0" fontId="12" fillId="0" borderId="18" xfId="0" applyFont="1" applyBorder="1"/>
    <xf numFmtId="0" fontId="12" fillId="0" borderId="21" xfId="0" applyFont="1" applyBorder="1"/>
    <xf numFmtId="0" fontId="9" fillId="3" borderId="14" xfId="0" applyFont="1" applyFill="1" applyBorder="1"/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22" xfId="0" applyFont="1" applyBorder="1"/>
    <xf numFmtId="0" fontId="9" fillId="0" borderId="0" xfId="0" applyFont="1" applyFill="1" applyBorder="1" applyAlignment="1">
      <alignment horizontal="center"/>
    </xf>
    <xf numFmtId="0" fontId="12" fillId="0" borderId="9" xfId="0" applyFont="1" applyBorder="1"/>
    <xf numFmtId="0" fontId="9" fillId="7" borderId="5" xfId="0" applyFont="1" applyFill="1" applyBorder="1" applyAlignment="1">
      <alignment horizontal="right"/>
    </xf>
    <xf numFmtId="0" fontId="12" fillId="0" borderId="10" xfId="0" applyFont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9" fontId="68" fillId="15" borderId="5" xfId="0" applyNumberFormat="1" applyFont="1" applyFill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10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69" fillId="0" borderId="0" xfId="0" applyFont="1" applyFill="1" applyBorder="1" applyAlignment="1">
      <alignment vertical="center"/>
    </xf>
    <xf numFmtId="6" fontId="9" fillId="14" borderId="5" xfId="0" applyNumberFormat="1" applyFont="1" applyFill="1" applyBorder="1" applyAlignment="1" applyProtection="1">
      <alignment vertical="center"/>
      <protection locked="0"/>
    </xf>
    <xf numFmtId="0" fontId="12" fillId="0" borderId="54" xfId="0" applyFont="1" applyBorder="1"/>
    <xf numFmtId="0" fontId="66" fillId="0" borderId="9" xfId="0" applyFont="1" applyBorder="1"/>
    <xf numFmtId="6" fontId="9" fillId="7" borderId="5" xfId="0" applyNumberFormat="1" applyFont="1" applyFill="1" applyBorder="1" applyAlignment="1" applyProtection="1">
      <alignment vertical="center"/>
      <protection locked="0"/>
    </xf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9" fontId="12" fillId="0" borderId="2" xfId="0" applyNumberFormat="1" applyFont="1" applyFill="1" applyBorder="1"/>
    <xf numFmtId="0" fontId="12" fillId="0" borderId="23" xfId="0" applyFont="1" applyBorder="1"/>
    <xf numFmtId="0" fontId="12" fillId="14" borderId="19" xfId="0" applyFont="1" applyFill="1" applyBorder="1"/>
    <xf numFmtId="0" fontId="12" fillId="14" borderId="0" xfId="0" applyFont="1" applyFill="1"/>
    <xf numFmtId="9" fontId="12" fillId="14" borderId="0" xfId="0" applyNumberFormat="1" applyFont="1" applyFill="1" applyBorder="1"/>
    <xf numFmtId="0" fontId="12" fillId="14" borderId="7" xfId="0" applyFont="1" applyFill="1" applyBorder="1"/>
    <xf numFmtId="0" fontId="12" fillId="14" borderId="109" xfId="0" applyFont="1" applyFill="1" applyBorder="1"/>
    <xf numFmtId="0" fontId="9" fillId="14" borderId="19" xfId="0" applyFont="1" applyFill="1" applyBorder="1" applyAlignment="1">
      <alignment horizontal="center"/>
    </xf>
    <xf numFmtId="0" fontId="9" fillId="14" borderId="0" xfId="0" applyFont="1" applyFill="1"/>
    <xf numFmtId="6" fontId="9" fillId="14" borderId="0" xfId="0" applyNumberFormat="1" applyFont="1" applyFill="1"/>
    <xf numFmtId="0" fontId="12" fillId="14" borderId="19" xfId="0" applyFont="1" applyFill="1" applyBorder="1" applyAlignment="1">
      <alignment horizontal="center"/>
    </xf>
    <xf numFmtId="0" fontId="12" fillId="14" borderId="0" xfId="0" applyFont="1" applyFill="1" applyAlignment="1">
      <alignment horizontal="center"/>
    </xf>
    <xf numFmtId="2" fontId="12" fillId="14" borderId="0" xfId="0" applyNumberFormat="1" applyFont="1" applyFill="1"/>
    <xf numFmtId="0" fontId="70" fillId="14" borderId="0" xfId="0" applyFont="1" applyFill="1"/>
    <xf numFmtId="10" fontId="12" fillId="14" borderId="0" xfId="0" applyNumberFormat="1" applyFont="1" applyFill="1"/>
    <xf numFmtId="164" fontId="12" fillId="8" borderId="5" xfId="0" applyNumberFormat="1" applyFont="1" applyFill="1" applyBorder="1" applyAlignment="1">
      <alignment horizontal="center"/>
    </xf>
    <xf numFmtId="9" fontId="9" fillId="14" borderId="0" xfId="0" applyNumberFormat="1" applyFont="1" applyFill="1" applyBorder="1" applyAlignment="1">
      <alignment horizontal="center"/>
    </xf>
    <xf numFmtId="2" fontId="12" fillId="8" borderId="5" xfId="0" applyNumberFormat="1" applyFont="1" applyFill="1" applyBorder="1" applyAlignment="1">
      <alignment horizontal="center"/>
    </xf>
    <xf numFmtId="164" fontId="12" fillId="12" borderId="5" xfId="0" applyNumberFormat="1" applyFont="1" applyFill="1" applyBorder="1" applyAlignment="1">
      <alignment horizontal="center"/>
    </xf>
    <xf numFmtId="6" fontId="12" fillId="14" borderId="0" xfId="0" applyNumberFormat="1" applyFont="1" applyFill="1" applyAlignment="1">
      <alignment horizontal="center"/>
    </xf>
    <xf numFmtId="6" fontId="12" fillId="14" borderId="0" xfId="0" applyNumberFormat="1" applyFont="1" applyFill="1"/>
    <xf numFmtId="0" fontId="12" fillId="14" borderId="0" xfId="0" applyFont="1" applyFill="1" applyBorder="1"/>
    <xf numFmtId="0" fontId="12" fillId="14" borderId="15" xfId="0" applyFont="1" applyFill="1" applyBorder="1"/>
    <xf numFmtId="0" fontId="12" fillId="14" borderId="20" xfId="0" applyFont="1" applyFill="1" applyBorder="1"/>
    <xf numFmtId="0" fontId="9" fillId="14" borderId="0" xfId="0" applyFont="1" applyFill="1" applyAlignment="1">
      <alignment horizontal="right"/>
    </xf>
    <xf numFmtId="6" fontId="9" fillId="3" borderId="31" xfId="0" applyNumberFormat="1" applyFont="1" applyFill="1" applyBorder="1" applyAlignment="1">
      <alignment horizontal="center"/>
    </xf>
    <xf numFmtId="0" fontId="12" fillId="14" borderId="110" xfId="0" applyFont="1" applyFill="1" applyBorder="1" applyAlignment="1"/>
    <xf numFmtId="0" fontId="12" fillId="14" borderId="3" xfId="0" applyFont="1" applyFill="1" applyBorder="1" applyAlignment="1"/>
    <xf numFmtId="0" fontId="12" fillId="14" borderId="3" xfId="0" applyFont="1" applyFill="1" applyBorder="1"/>
    <xf numFmtId="0" fontId="12" fillId="14" borderId="16" xfId="0" applyFont="1" applyFill="1" applyBorder="1"/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173" fontId="12" fillId="0" borderId="0" xfId="0" applyNumberFormat="1" applyFont="1"/>
    <xf numFmtId="10" fontId="12" fillId="0" borderId="0" xfId="0" applyNumberFormat="1" applyFont="1"/>
    <xf numFmtId="0" fontId="12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6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2" fontId="12" fillId="0" borderId="0" xfId="0" applyNumberFormat="1" applyFont="1" applyBorder="1" applyAlignment="1">
      <alignment horizontal="left"/>
    </xf>
    <xf numFmtId="8" fontId="12" fillId="3" borderId="0" xfId="0" applyNumberFormat="1" applyFont="1" applyFill="1" applyBorder="1" applyAlignment="1">
      <alignment horizontal="center"/>
    </xf>
    <xf numFmtId="9" fontId="12" fillId="0" borderId="0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5" fontId="12" fillId="8" borderId="5" xfId="0" applyNumberFormat="1" applyFont="1" applyFill="1" applyBorder="1" applyAlignment="1">
      <alignment horizontal="center"/>
    </xf>
    <xf numFmtId="165" fontId="12" fillId="12" borderId="28" xfId="0" applyNumberFormat="1" applyFont="1" applyFill="1" applyBorder="1" applyAlignment="1">
      <alignment horizontal="center"/>
    </xf>
    <xf numFmtId="165" fontId="12" fillId="12" borderId="133" xfId="0" applyNumberFormat="1" applyFont="1" applyFill="1" applyBorder="1" applyAlignment="1"/>
    <xf numFmtId="0" fontId="9" fillId="0" borderId="15" xfId="0" applyFont="1" applyBorder="1" applyAlignment="1"/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12" fillId="0" borderId="16" xfId="0" applyFont="1" applyBorder="1"/>
    <xf numFmtId="0" fontId="12" fillId="0" borderId="2" xfId="0" applyFont="1" applyBorder="1" applyAlignment="1">
      <alignment horizontal="center"/>
    </xf>
    <xf numFmtId="0" fontId="12" fillId="14" borderId="19" xfId="0" applyFont="1" applyFill="1" applyBorder="1" applyAlignment="1"/>
    <xf numFmtId="0" fontId="12" fillId="14" borderId="0" xfId="0" applyFont="1" applyFill="1" applyBorder="1" applyAlignment="1"/>
    <xf numFmtId="6" fontId="9" fillId="3" borderId="30" xfId="0" applyNumberFormat="1" applyFont="1" applyFill="1" applyBorder="1" applyAlignment="1">
      <alignment horizontal="center"/>
    </xf>
    <xf numFmtId="10" fontId="70" fillId="14" borderId="0" xfId="0" applyNumberFormat="1" applyFont="1" applyFill="1"/>
    <xf numFmtId="10" fontId="9" fillId="8" borderId="5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8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2" fillId="14" borderId="2" xfId="0" applyFont="1" applyFill="1" applyBorder="1"/>
    <xf numFmtId="0" fontId="12" fillId="3" borderId="19" xfId="0" applyFont="1" applyFill="1" applyBorder="1"/>
    <xf numFmtId="0" fontId="12" fillId="3" borderId="0" xfId="0" applyFont="1" applyFill="1"/>
    <xf numFmtId="0" fontId="9" fillId="3" borderId="15" xfId="0" applyFont="1" applyFill="1" applyBorder="1"/>
    <xf numFmtId="10" fontId="9" fillId="3" borderId="0" xfId="0" applyNumberFormat="1" applyFont="1" applyFill="1"/>
    <xf numFmtId="0" fontId="12" fillId="3" borderId="20" xfId="0" applyFont="1" applyFill="1" applyBorder="1"/>
    <xf numFmtId="0" fontId="12" fillId="3" borderId="2" xfId="0" applyFont="1" applyFill="1" applyBorder="1"/>
    <xf numFmtId="0" fontId="9" fillId="3" borderId="17" xfId="0" applyFont="1" applyFill="1" applyBorder="1"/>
    <xf numFmtId="0" fontId="12" fillId="0" borderId="1" xfId="0" applyFont="1" applyFill="1" applyBorder="1"/>
    <xf numFmtId="0" fontId="12" fillId="0" borderId="0" xfId="0" applyFont="1" applyFill="1" applyBorder="1"/>
    <xf numFmtId="0" fontId="9" fillId="0" borderId="0" xfId="0" applyFont="1" applyFill="1" applyBorder="1"/>
    <xf numFmtId="10" fontId="14" fillId="0" borderId="0" xfId="0" applyNumberFormat="1" applyFont="1"/>
    <xf numFmtId="8" fontId="44" fillId="0" borderId="0" xfId="0" applyNumberFormat="1" applyFont="1"/>
    <xf numFmtId="0" fontId="66" fillId="0" borderId="0" xfId="0" applyFont="1"/>
    <xf numFmtId="0" fontId="9" fillId="0" borderId="44" xfId="0" applyFont="1" applyBorder="1" applyAlignment="1">
      <alignment vertical="center"/>
    </xf>
    <xf numFmtId="0" fontId="12" fillId="0" borderId="43" xfId="0" applyFont="1" applyBorder="1"/>
    <xf numFmtId="0" fontId="12" fillId="0" borderId="40" xfId="0" applyFont="1" applyBorder="1"/>
    <xf numFmtId="0" fontId="12" fillId="0" borderId="41" xfId="0" applyFont="1" applyBorder="1"/>
    <xf numFmtId="0" fontId="12" fillId="0" borderId="41" xfId="0" applyFont="1" applyFill="1" applyBorder="1"/>
    <xf numFmtId="0" fontId="12" fillId="0" borderId="35" xfId="0" applyFont="1" applyBorder="1"/>
    <xf numFmtId="0" fontId="12" fillId="0" borderId="36" xfId="0" applyFont="1" applyBorder="1"/>
    <xf numFmtId="0" fontId="12" fillId="0" borderId="37" xfId="0" applyFont="1" applyBorder="1"/>
    <xf numFmtId="0" fontId="12" fillId="0" borderId="38" xfId="0" applyFont="1" applyBorder="1"/>
    <xf numFmtId="0" fontId="12" fillId="0" borderId="39" xfId="0" applyFont="1" applyBorder="1"/>
    <xf numFmtId="0" fontId="9" fillId="0" borderId="38" xfId="0" applyFont="1" applyBorder="1"/>
    <xf numFmtId="0" fontId="67" fillId="0" borderId="0" xfId="0" applyFont="1" applyFill="1" applyBorder="1"/>
    <xf numFmtId="0" fontId="44" fillId="0" borderId="0" xfId="0" applyFont="1" applyBorder="1" applyAlignment="1">
      <alignment horizontal="right"/>
    </xf>
    <xf numFmtId="0" fontId="67" fillId="0" borderId="0" xfId="0" applyFont="1" applyBorder="1"/>
    <xf numFmtId="16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69" fillId="0" borderId="0" xfId="0" applyFont="1" applyFill="1" applyBorder="1" applyAlignment="1">
      <alignment horizontal="center"/>
    </xf>
    <xf numFmtId="0" fontId="71" fillId="0" borderId="0" xfId="0" applyFont="1" applyFill="1" applyBorder="1"/>
    <xf numFmtId="0" fontId="67" fillId="0" borderId="0" xfId="0" applyFont="1" applyBorder="1" applyAlignment="1">
      <alignment horizontal="right"/>
    </xf>
    <xf numFmtId="9" fontId="67" fillId="0" borderId="0" xfId="0" applyNumberFormat="1" applyFont="1" applyBorder="1"/>
    <xf numFmtId="164" fontId="72" fillId="3" borderId="5" xfId="0" applyNumberFormat="1" applyFont="1" applyFill="1" applyBorder="1" applyAlignment="1">
      <alignment horizontal="center"/>
    </xf>
    <xf numFmtId="0" fontId="69" fillId="0" borderId="0" xfId="0" applyFont="1" applyBorder="1" applyAlignment="1">
      <alignment horizontal="right"/>
    </xf>
    <xf numFmtId="164" fontId="73" fillId="0" borderId="0" xfId="0" applyNumberFormat="1" applyFont="1" applyFill="1" applyBorder="1" applyAlignment="1">
      <alignment horizontal="center"/>
    </xf>
    <xf numFmtId="0" fontId="73" fillId="0" borderId="0" xfId="0" applyFont="1" applyFill="1" applyBorder="1"/>
    <xf numFmtId="0" fontId="12" fillId="0" borderId="38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164" fontId="14" fillId="0" borderId="0" xfId="0" applyNumberFormat="1" applyFont="1" applyBorder="1"/>
    <xf numFmtId="164" fontId="74" fillId="0" borderId="0" xfId="0" applyNumberFormat="1" applyFont="1" applyFill="1" applyBorder="1" applyAlignment="1">
      <alignment horizontal="center"/>
    </xf>
    <xf numFmtId="0" fontId="44" fillId="0" borderId="0" xfId="0" applyFont="1" applyBorder="1"/>
    <xf numFmtId="3" fontId="44" fillId="0" borderId="0" xfId="0" applyNumberFormat="1" applyFont="1" applyBorder="1"/>
    <xf numFmtId="0" fontId="9" fillId="0" borderId="7" xfId="0" applyFont="1" applyBorder="1" applyAlignment="1">
      <alignment horizontal="center"/>
    </xf>
    <xf numFmtId="0" fontId="68" fillId="0" borderId="7" xfId="0" applyFont="1" applyBorder="1" applyAlignment="1">
      <alignment horizontal="center"/>
    </xf>
    <xf numFmtId="0" fontId="12" fillId="0" borderId="7" xfId="0" applyFont="1" applyBorder="1" applyAlignment="1"/>
    <xf numFmtId="0" fontId="9" fillId="0" borderId="7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14" borderId="6" xfId="0" applyFont="1" applyFill="1" applyBorder="1" applyAlignment="1">
      <alignment horizontal="center" vertical="center"/>
    </xf>
    <xf numFmtId="0" fontId="12" fillId="14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right"/>
    </xf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68" fillId="0" borderId="10" xfId="0" applyFont="1" applyBorder="1" applyAlignment="1">
      <alignment horizontal="center"/>
    </xf>
    <xf numFmtId="0" fontId="12" fillId="14" borderId="9" xfId="0" applyFont="1" applyFill="1" applyBorder="1" applyAlignment="1">
      <alignment horizontal="center" vertical="center"/>
    </xf>
    <xf numFmtId="0" fontId="12" fillId="14" borderId="10" xfId="0" applyFont="1" applyFill="1" applyBorder="1" applyAlignment="1">
      <alignment horizontal="center" vertical="center"/>
    </xf>
    <xf numFmtId="164" fontId="12" fillId="0" borderId="11" xfId="0" applyNumberFormat="1" applyFont="1" applyBorder="1"/>
    <xf numFmtId="164" fontId="12" fillId="0" borderId="12" xfId="0" applyNumberFormat="1" applyFont="1" applyBorder="1" applyAlignment="1">
      <alignment horizontal="center"/>
    </xf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/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0" fontId="66" fillId="0" borderId="13" xfId="0" applyFont="1" applyBorder="1" applyAlignment="1">
      <alignment horizontal="center"/>
    </xf>
    <xf numFmtId="165" fontId="12" fillId="0" borderId="11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75" fillId="0" borderId="38" xfId="0" applyFont="1" applyBorder="1"/>
    <xf numFmtId="0" fontId="44" fillId="0" borderId="0" xfId="0" applyFont="1" applyFill="1" applyBorder="1" applyAlignment="1">
      <alignment horizontal="center"/>
    </xf>
    <xf numFmtId="0" fontId="9" fillId="0" borderId="39" xfId="0" applyFont="1" applyBorder="1"/>
    <xf numFmtId="0" fontId="9" fillId="0" borderId="3" xfId="0" applyFont="1" applyBorder="1" applyAlignment="1">
      <alignment horizontal="center"/>
    </xf>
    <xf numFmtId="0" fontId="44" fillId="0" borderId="3" xfId="0" applyFont="1" applyFill="1" applyBorder="1" applyAlignment="1">
      <alignment horizontal="center"/>
    </xf>
    <xf numFmtId="0" fontId="9" fillId="0" borderId="32" xfId="0" applyFont="1" applyBorder="1"/>
    <xf numFmtId="3" fontId="12" fillId="0" borderId="4" xfId="0" applyNumberFormat="1" applyFont="1" applyBorder="1" applyAlignment="1">
      <alignment horizontal="center"/>
    </xf>
    <xf numFmtId="0" fontId="12" fillId="0" borderId="4" xfId="0" applyFont="1" applyBorder="1"/>
    <xf numFmtId="9" fontId="12" fillId="0" borderId="4" xfId="0" applyNumberFormat="1" applyFont="1" applyBorder="1"/>
    <xf numFmtId="0" fontId="9" fillId="0" borderId="4" xfId="0" applyFont="1" applyBorder="1" applyAlignment="1">
      <alignment horizontal="center"/>
    </xf>
    <xf numFmtId="9" fontId="67" fillId="0" borderId="4" xfId="0" applyNumberFormat="1" applyFont="1" applyFill="1" applyBorder="1" applyAlignment="1">
      <alignment horizontal="center" vertical="center"/>
    </xf>
    <xf numFmtId="10" fontId="67" fillId="0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/>
    <xf numFmtId="3" fontId="12" fillId="0" borderId="45" xfId="0" applyNumberFormat="1" applyFont="1" applyBorder="1" applyAlignment="1">
      <alignment horizontal="center"/>
    </xf>
    <xf numFmtId="3" fontId="12" fillId="0" borderId="38" xfId="0" applyNumberFormat="1" applyFont="1" applyBorder="1"/>
    <xf numFmtId="0" fontId="9" fillId="0" borderId="33" xfId="0" applyFont="1" applyBorder="1"/>
    <xf numFmtId="3" fontId="12" fillId="0" borderId="0" xfId="0" applyNumberFormat="1" applyFont="1" applyBorder="1" applyAlignment="1">
      <alignment horizontal="center"/>
    </xf>
    <xf numFmtId="9" fontId="12" fillId="0" borderId="0" xfId="0" applyNumberFormat="1" applyFont="1" applyBorder="1"/>
    <xf numFmtId="0" fontId="67" fillId="0" borderId="0" xfId="0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3" fontId="12" fillId="0" borderId="34" xfId="0" applyNumberFormat="1" applyFont="1" applyBorder="1" applyAlignment="1">
      <alignment horizontal="center"/>
    </xf>
    <xf numFmtId="3" fontId="12" fillId="0" borderId="0" xfId="0" applyNumberFormat="1" applyFont="1" applyBorder="1"/>
    <xf numFmtId="0" fontId="67" fillId="0" borderId="0" xfId="0" applyFont="1" applyFill="1" applyBorder="1" applyAlignment="1">
      <alignment horizontal="center"/>
    </xf>
    <xf numFmtId="9" fontId="67" fillId="0" borderId="0" xfId="0" applyNumberFormat="1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4" fontId="12" fillId="0" borderId="39" xfId="0" applyNumberFormat="1" applyFont="1" applyBorder="1"/>
    <xf numFmtId="0" fontId="9" fillId="0" borderId="46" xfId="0" applyFont="1" applyBorder="1"/>
    <xf numFmtId="9" fontId="12" fillId="0" borderId="2" xfId="0" applyNumberFormat="1" applyFont="1" applyBorder="1"/>
    <xf numFmtId="0" fontId="12" fillId="0" borderId="2" xfId="0" applyFont="1" applyFill="1" applyBorder="1" applyAlignment="1">
      <alignment horizontal="center"/>
    </xf>
    <xf numFmtId="0" fontId="67" fillId="0" borderId="2" xfId="0" applyFont="1" applyFill="1" applyBorder="1"/>
    <xf numFmtId="166" fontId="9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164" fontId="12" fillId="0" borderId="2" xfId="0" applyNumberFormat="1" applyFont="1" applyBorder="1"/>
    <xf numFmtId="3" fontId="12" fillId="0" borderId="47" xfId="0" applyNumberFormat="1" applyFont="1" applyBorder="1" applyAlignment="1">
      <alignment horizontal="center"/>
    </xf>
    <xf numFmtId="165" fontId="67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/>
    <xf numFmtId="3" fontId="12" fillId="0" borderId="1" xfId="0" applyNumberFormat="1" applyFont="1" applyBorder="1"/>
    <xf numFmtId="9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4" fontId="9" fillId="0" borderId="0" xfId="0" applyNumberFormat="1" applyFont="1" applyBorder="1"/>
    <xf numFmtId="3" fontId="9" fillId="0" borderId="0" xfId="0" applyNumberFormat="1" applyFont="1" applyBorder="1"/>
    <xf numFmtId="165" fontId="12" fillId="0" borderId="0" xfId="0" applyNumberFormat="1" applyFont="1" applyBorder="1"/>
    <xf numFmtId="10" fontId="9" fillId="0" borderId="0" xfId="0" applyNumberFormat="1" applyFont="1" applyBorder="1"/>
    <xf numFmtId="165" fontId="9" fillId="0" borderId="0" xfId="0" applyNumberFormat="1" applyFont="1" applyBorder="1"/>
    <xf numFmtId="10" fontId="12" fillId="0" borderId="0" xfId="0" applyNumberFormat="1" applyFont="1" applyBorder="1"/>
    <xf numFmtId="0" fontId="12" fillId="0" borderId="28" xfId="0" applyFont="1" applyBorder="1" applyAlignment="1">
      <alignment horizontal="center"/>
    </xf>
    <xf numFmtId="0" fontId="12" fillId="0" borderId="29" xfId="0" applyFont="1" applyBorder="1"/>
    <xf numFmtId="0" fontId="12" fillId="0" borderId="29" xfId="0" applyFont="1" applyBorder="1" applyAlignment="1">
      <alignment horizontal="center"/>
    </xf>
    <xf numFmtId="0" fontId="12" fillId="0" borderId="27" xfId="0" applyFont="1" applyBorder="1"/>
    <xf numFmtId="3" fontId="12" fillId="3" borderId="28" xfId="0" applyNumberFormat="1" applyFont="1" applyFill="1" applyBorder="1" applyAlignment="1"/>
    <xf numFmtId="0" fontId="12" fillId="3" borderId="29" xfId="0" applyFont="1" applyFill="1" applyBorder="1" applyAlignment="1"/>
    <xf numFmtId="166" fontId="12" fillId="3" borderId="29" xfId="0" applyNumberFormat="1" applyFont="1" applyFill="1" applyBorder="1"/>
    <xf numFmtId="0" fontId="9" fillId="3" borderId="29" xfId="0" applyFont="1" applyFill="1" applyBorder="1" applyAlignment="1">
      <alignment horizontal="center"/>
    </xf>
    <xf numFmtId="0" fontId="9" fillId="3" borderId="29" xfId="0" applyFont="1" applyFill="1" applyBorder="1"/>
    <xf numFmtId="0" fontId="12" fillId="3" borderId="29" xfId="0" applyFont="1" applyFill="1" applyBorder="1"/>
    <xf numFmtId="0" fontId="12" fillId="3" borderId="27" xfId="0" applyFont="1" applyFill="1" applyBorder="1"/>
    <xf numFmtId="1" fontId="12" fillId="0" borderId="0" xfId="0" applyNumberFormat="1" applyFont="1"/>
    <xf numFmtId="3" fontId="12" fillId="0" borderId="28" xfId="0" applyNumberFormat="1" applyFont="1" applyBorder="1"/>
    <xf numFmtId="166" fontId="12" fillId="0" borderId="29" xfId="0" applyNumberFormat="1" applyFont="1" applyBorder="1"/>
    <xf numFmtId="0" fontId="9" fillId="0" borderId="29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3" fontId="12" fillId="0" borderId="28" xfId="0" applyNumberFormat="1" applyFont="1" applyBorder="1" applyAlignment="1"/>
    <xf numFmtId="0" fontId="12" fillId="0" borderId="29" xfId="0" applyFont="1" applyBorder="1" applyAlignment="1"/>
    <xf numFmtId="0" fontId="12" fillId="0" borderId="29" xfId="0" applyFont="1" applyFill="1" applyBorder="1" applyAlignment="1">
      <alignment horizontal="center"/>
    </xf>
    <xf numFmtId="0" fontId="9" fillId="0" borderId="41" xfId="0" applyFont="1" applyBorder="1"/>
    <xf numFmtId="0" fontId="12" fillId="0" borderId="42" xfId="0" applyFont="1" applyBorder="1"/>
    <xf numFmtId="0" fontId="12" fillId="3" borderId="92" xfId="0" applyFont="1" applyFill="1" applyBorder="1" applyAlignment="1">
      <alignment horizontal="center"/>
    </xf>
    <xf numFmtId="0" fontId="12" fillId="3" borderId="93" xfId="0" applyFont="1" applyFill="1" applyBorder="1" applyAlignment="1">
      <alignment horizontal="center"/>
    </xf>
    <xf numFmtId="0" fontId="9" fillId="3" borderId="92" xfId="0" applyFont="1" applyFill="1" applyBorder="1" applyAlignment="1">
      <alignment horizontal="center"/>
    </xf>
    <xf numFmtId="0" fontId="12" fillId="3" borderId="94" xfId="0" applyFont="1" applyFill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9" fillId="0" borderId="7" xfId="0" applyFont="1" applyBorder="1"/>
    <xf numFmtId="0" fontId="12" fillId="0" borderId="96" xfId="0" applyFont="1" applyBorder="1"/>
    <xf numFmtId="0" fontId="67" fillId="0" borderId="33" xfId="0" applyFont="1" applyBorder="1" applyAlignment="1">
      <alignment horizontal="center"/>
    </xf>
    <xf numFmtId="0" fontId="12" fillId="0" borderId="34" xfId="0" applyFont="1" applyBorder="1"/>
    <xf numFmtId="9" fontId="67" fillId="0" borderId="33" xfId="0" applyNumberFormat="1" applyFont="1" applyBorder="1" applyAlignment="1">
      <alignment horizontal="center"/>
    </xf>
    <xf numFmtId="9" fontId="12" fillId="0" borderId="0" xfId="0" applyNumberFormat="1" applyFont="1" applyBorder="1" applyAlignment="1">
      <alignment horizontal="center"/>
    </xf>
    <xf numFmtId="10" fontId="12" fillId="0" borderId="0" xfId="0" applyNumberFormat="1" applyFont="1" applyBorder="1" applyAlignment="1">
      <alignment horizontal="center"/>
    </xf>
    <xf numFmtId="0" fontId="12" fillId="0" borderId="97" xfId="0" applyFont="1" applyBorder="1"/>
    <xf numFmtId="10" fontId="12" fillId="0" borderId="3" xfId="0" applyNumberFormat="1" applyFont="1" applyBorder="1"/>
    <xf numFmtId="0" fontId="9" fillId="0" borderId="3" xfId="0" applyFont="1" applyBorder="1"/>
    <xf numFmtId="0" fontId="12" fillId="0" borderId="98" xfId="0" applyFont="1" applyBorder="1"/>
    <xf numFmtId="10" fontId="10" fillId="0" borderId="0" xfId="0" applyNumberFormat="1" applyFont="1" applyBorder="1" applyAlignment="1">
      <alignment horizontal="center"/>
    </xf>
    <xf numFmtId="10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0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13" fillId="0" borderId="34" xfId="0" applyNumberFormat="1" applyFont="1" applyBorder="1"/>
    <xf numFmtId="0" fontId="11" fillId="0" borderId="0" xfId="0" applyFont="1" applyBorder="1" applyAlignment="1">
      <alignment horizontal="right"/>
    </xf>
    <xf numFmtId="10" fontId="76" fillId="0" borderId="34" xfId="0" applyNumberFormat="1" applyFont="1" applyBorder="1" applyAlignment="1">
      <alignment horizontal="center"/>
    </xf>
    <xf numFmtId="10" fontId="13" fillId="0" borderId="0" xfId="0" applyNumberFormat="1" applyFont="1"/>
    <xf numFmtId="10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3" fillId="0" borderId="34" xfId="0" applyFont="1" applyBorder="1"/>
    <xf numFmtId="166" fontId="10" fillId="0" borderId="0" xfId="0" applyNumberFormat="1" applyFont="1" applyBorder="1" applyAlignment="1">
      <alignment horizontal="center"/>
    </xf>
    <xf numFmtId="10" fontId="77" fillId="0" borderId="0" xfId="0" applyNumberFormat="1" applyFont="1"/>
    <xf numFmtId="10" fontId="77" fillId="0" borderId="0" xfId="0" applyNumberFormat="1" applyFont="1" applyBorder="1" applyAlignment="1">
      <alignment horizontal="center"/>
    </xf>
    <xf numFmtId="10" fontId="77" fillId="0" borderId="0" xfId="0" applyNumberFormat="1" applyFont="1" applyBorder="1" applyAlignment="1">
      <alignment horizontal="left"/>
    </xf>
    <xf numFmtId="0" fontId="77" fillId="0" borderId="0" xfId="0" applyFont="1" applyBorder="1" applyAlignment="1">
      <alignment horizontal="left"/>
    </xf>
    <xf numFmtId="10" fontId="77" fillId="0" borderId="34" xfId="0" applyNumberFormat="1" applyFont="1" applyBorder="1" applyAlignment="1">
      <alignment horizontal="center"/>
    </xf>
    <xf numFmtId="164" fontId="78" fillId="0" borderId="0" xfId="0" applyNumberFormat="1" applyFont="1" applyBorder="1" applyAlignment="1">
      <alignment horizontal="center"/>
    </xf>
    <xf numFmtId="0" fontId="67" fillId="0" borderId="39" xfId="0" applyFont="1" applyBorder="1"/>
    <xf numFmtId="0" fontId="44" fillId="0" borderId="0" xfId="0" applyFont="1" applyBorder="1" applyAlignment="1">
      <alignment horizontal="center"/>
    </xf>
    <xf numFmtId="0" fontId="44" fillId="0" borderId="39" xfId="0" applyFont="1" applyBorder="1" applyAlignment="1">
      <alignment horizontal="center"/>
    </xf>
    <xf numFmtId="0" fontId="67" fillId="0" borderId="0" xfId="0" applyFont="1" applyAlignment="1">
      <alignment horizontal="right"/>
    </xf>
    <xf numFmtId="0" fontId="44" fillId="0" borderId="0" xfId="0" applyFont="1"/>
    <xf numFmtId="3" fontId="67" fillId="0" borderId="39" xfId="0" applyNumberFormat="1" applyFont="1" applyBorder="1" applyAlignment="1">
      <alignment horizontal="center"/>
    </xf>
    <xf numFmtId="164" fontId="44" fillId="0" borderId="39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561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6" customWidth="1"/>
    <col min="21" max="21" width="19.1640625" style="10" bestFit="1" customWidth="1"/>
    <col min="22" max="22" width="12.1640625" bestFit="1" customWidth="1"/>
  </cols>
  <sheetData>
    <row r="2" spans="3:25" ht="25">
      <c r="D2" s="180" t="s">
        <v>204</v>
      </c>
      <c r="J2" s="24" t="s">
        <v>205</v>
      </c>
      <c r="K2" s="180" t="s">
        <v>206</v>
      </c>
    </row>
    <row r="5" spans="3:25" ht="23">
      <c r="C5" s="116" t="s">
        <v>207</v>
      </c>
      <c r="H5" s="306"/>
    </row>
    <row r="6" spans="3:25">
      <c r="T6"/>
      <c r="U6" s="6"/>
      <c r="Y6" s="6"/>
    </row>
    <row r="7" spans="3:25">
      <c r="D7" s="307" t="s">
        <v>208</v>
      </c>
      <c r="E7" s="308" t="s">
        <v>209</v>
      </c>
      <c r="F7" s="309" t="s">
        <v>210</v>
      </c>
      <c r="G7" s="310" t="s">
        <v>211</v>
      </c>
      <c r="H7" s="311" t="s">
        <v>212</v>
      </c>
      <c r="N7" s="5" t="s">
        <v>213</v>
      </c>
      <c r="O7" s="5" t="s">
        <v>213</v>
      </c>
      <c r="P7" s="135" t="s">
        <v>213</v>
      </c>
      <c r="T7"/>
      <c r="U7"/>
      <c r="V7" s="24" t="s">
        <v>214</v>
      </c>
      <c r="Y7" s="312"/>
    </row>
    <row r="8" spans="3:25">
      <c r="D8" s="313" t="s">
        <v>215</v>
      </c>
      <c r="E8" s="314">
        <v>1500000</v>
      </c>
      <c r="F8" s="314">
        <f>E8/4</f>
        <v>375000</v>
      </c>
      <c r="G8" s="315">
        <f t="shared" ref="G8:G13" si="0">E8*5</f>
        <v>7500000</v>
      </c>
      <c r="H8" s="316">
        <f>E8*7</f>
        <v>10500000</v>
      </c>
      <c r="N8" s="135" t="s">
        <v>216</v>
      </c>
      <c r="O8" s="135" t="s">
        <v>217</v>
      </c>
      <c r="P8" s="5" t="s">
        <v>218</v>
      </c>
      <c r="Q8" s="5"/>
      <c r="R8" t="s">
        <v>219</v>
      </c>
      <c r="T8"/>
      <c r="U8"/>
      <c r="V8" s="24" t="s">
        <v>220</v>
      </c>
      <c r="W8" s="317" t="s">
        <v>221</v>
      </c>
    </row>
    <row r="9" spans="3:25">
      <c r="D9" s="318" t="s">
        <v>222</v>
      </c>
      <c r="E9" s="319">
        <v>3000000</v>
      </c>
      <c r="F9" s="314">
        <f t="shared" ref="F9:F12" si="1">E9/4</f>
        <v>750000</v>
      </c>
      <c r="G9" s="315">
        <f t="shared" si="0"/>
        <v>15000000</v>
      </c>
      <c r="H9" s="316">
        <f t="shared" ref="H9:H13" si="2">E9*7</f>
        <v>21000000</v>
      </c>
      <c r="N9" s="320">
        <f>P9/5</f>
        <v>2000000</v>
      </c>
      <c r="O9" s="248">
        <f>P9/7</f>
        <v>1428571.4285714286</v>
      </c>
      <c r="P9" s="255">
        <v>10000000</v>
      </c>
      <c r="Q9" s="255"/>
      <c r="R9" s="321">
        <v>0.66</v>
      </c>
      <c r="S9" s="322"/>
      <c r="T9" s="312" t="s">
        <v>223</v>
      </c>
      <c r="U9" s="312" t="s">
        <v>224</v>
      </c>
      <c r="V9" s="323">
        <f>P9*R9</f>
        <v>6600000</v>
      </c>
      <c r="W9" s="317"/>
    </row>
    <row r="10" spans="3:25">
      <c r="D10" s="324" t="s">
        <v>225</v>
      </c>
      <c r="E10" s="325">
        <v>6000000</v>
      </c>
      <c r="F10" s="314">
        <f t="shared" si="1"/>
        <v>1500000</v>
      </c>
      <c r="G10" s="315">
        <f t="shared" si="0"/>
        <v>30000000</v>
      </c>
      <c r="H10" s="316">
        <f t="shared" si="2"/>
        <v>42000000</v>
      </c>
      <c r="N10" s="312"/>
      <c r="O10" s="248"/>
      <c r="P10" s="326"/>
      <c r="Q10" s="326"/>
      <c r="R10" s="23"/>
      <c r="S10" s="327"/>
      <c r="T10"/>
      <c r="U10"/>
      <c r="V10" s="323"/>
      <c r="W10" s="317" t="s">
        <v>221</v>
      </c>
    </row>
    <row r="11" spans="3:25">
      <c r="D11" s="313" t="s">
        <v>226</v>
      </c>
      <c r="E11" s="314">
        <v>10000000</v>
      </c>
      <c r="F11" s="314">
        <f t="shared" si="1"/>
        <v>2500000</v>
      </c>
      <c r="G11" s="315">
        <f t="shared" si="0"/>
        <v>50000000</v>
      </c>
      <c r="H11" s="316">
        <f t="shared" si="2"/>
        <v>70000000</v>
      </c>
      <c r="N11" s="320">
        <f>P11/5</f>
        <v>5000000</v>
      </c>
      <c r="O11" s="248">
        <f>P11/7</f>
        <v>3571428.5714285714</v>
      </c>
      <c r="P11" s="326">
        <v>25000000</v>
      </c>
      <c r="Q11" s="326"/>
      <c r="R11" s="23">
        <f>14%+14%</f>
        <v>0.28000000000000003</v>
      </c>
      <c r="S11" s="327"/>
      <c r="T11" t="s">
        <v>227</v>
      </c>
      <c r="U11" t="s">
        <v>228</v>
      </c>
      <c r="V11" s="323">
        <f>P11*R11</f>
        <v>7000000.0000000009</v>
      </c>
      <c r="W11" s="317"/>
    </row>
    <row r="12" spans="3:25">
      <c r="D12" s="328" t="s">
        <v>229</v>
      </c>
      <c r="E12" s="329">
        <v>15000000</v>
      </c>
      <c r="F12" s="314">
        <f t="shared" si="1"/>
        <v>3750000</v>
      </c>
      <c r="G12" s="330">
        <f t="shared" si="0"/>
        <v>75000000</v>
      </c>
      <c r="H12" s="331">
        <f t="shared" si="2"/>
        <v>105000000</v>
      </c>
      <c r="N12" s="312"/>
      <c r="O12" s="248"/>
      <c r="P12" s="326"/>
      <c r="Q12" s="326"/>
      <c r="R12" s="23"/>
      <c r="S12" s="327"/>
      <c r="T12"/>
      <c r="U12"/>
      <c r="V12" s="323"/>
      <c r="W12" s="317" t="s">
        <v>221</v>
      </c>
    </row>
    <row r="13" spans="3:25">
      <c r="D13" s="332" t="s">
        <v>230</v>
      </c>
      <c r="E13" s="333">
        <v>25000000</v>
      </c>
      <c r="F13" s="333">
        <f>E13/4</f>
        <v>6250000</v>
      </c>
      <c r="G13" s="334">
        <f t="shared" si="0"/>
        <v>125000000</v>
      </c>
      <c r="H13" s="335">
        <f t="shared" si="2"/>
        <v>175000000</v>
      </c>
      <c r="N13" s="320">
        <f>P13/5</f>
        <v>10000000</v>
      </c>
      <c r="O13" s="248">
        <f>P13/7</f>
        <v>7142857.1428571427</v>
      </c>
      <c r="P13" s="326">
        <v>50000000</v>
      </c>
      <c r="Q13" s="326"/>
      <c r="R13" s="23">
        <f t="shared" ref="R13:R15" si="3">14%+12%</f>
        <v>0.26</v>
      </c>
      <c r="S13" s="327"/>
      <c r="T13" t="s">
        <v>231</v>
      </c>
      <c r="U13" t="s">
        <v>232</v>
      </c>
      <c r="V13" s="323">
        <f>R13*P13</f>
        <v>13000000</v>
      </c>
      <c r="W13" s="317"/>
    </row>
    <row r="14" spans="3:25">
      <c r="N14" s="312"/>
      <c r="O14" s="248"/>
      <c r="P14" s="326"/>
      <c r="Q14" s="326"/>
      <c r="R14" s="23"/>
      <c r="S14" s="327"/>
      <c r="T14"/>
      <c r="U14"/>
      <c r="V14" s="323"/>
      <c r="W14" s="317" t="s">
        <v>221</v>
      </c>
    </row>
    <row r="15" spans="3:25">
      <c r="N15" s="320">
        <f>P15/5</f>
        <v>15000000</v>
      </c>
      <c r="O15" s="248">
        <f>P15/7</f>
        <v>10714285.714285715</v>
      </c>
      <c r="P15" s="326">
        <v>75000000</v>
      </c>
      <c r="Q15" s="326"/>
      <c r="R15" s="23">
        <f t="shared" si="3"/>
        <v>0.26</v>
      </c>
      <c r="S15" s="327"/>
      <c r="T15" t="s">
        <v>231</v>
      </c>
      <c r="U15" t="s">
        <v>232</v>
      </c>
      <c r="V15" s="323">
        <f>R15*P15</f>
        <v>19500000</v>
      </c>
      <c r="W15" s="317"/>
    </row>
    <row r="16" spans="3:25" ht="23">
      <c r="C16" s="116" t="s">
        <v>233</v>
      </c>
      <c r="G16" s="6" t="s">
        <v>234</v>
      </c>
      <c r="I16" s="5"/>
      <c r="J16" s="336"/>
      <c r="N16" s="312"/>
      <c r="O16" s="248"/>
      <c r="P16" s="326"/>
      <c r="Q16" s="326"/>
      <c r="R16" s="23"/>
      <c r="S16" s="327"/>
      <c r="T16"/>
      <c r="U16"/>
      <c r="V16" s="323"/>
      <c r="W16" s="317" t="s">
        <v>221</v>
      </c>
    </row>
    <row r="17" spans="2:26" ht="23">
      <c r="C17" s="116"/>
      <c r="G17" s="6" t="s">
        <v>235</v>
      </c>
      <c r="I17" s="5"/>
      <c r="J17" s="336"/>
      <c r="N17" s="320">
        <f>P17/5</f>
        <v>20000000</v>
      </c>
      <c r="O17" s="248">
        <f>P17/7</f>
        <v>14285714.285714285</v>
      </c>
      <c r="P17" s="326">
        <v>100000000</v>
      </c>
      <c r="Q17" s="326"/>
      <c r="R17" s="23">
        <f t="shared" ref="R17" si="4">14%+12%</f>
        <v>0.26</v>
      </c>
      <c r="S17" s="327"/>
      <c r="T17" t="s">
        <v>231</v>
      </c>
      <c r="U17" t="s">
        <v>232</v>
      </c>
      <c r="V17" s="323">
        <f>R17*P17</f>
        <v>26000000</v>
      </c>
      <c r="W17" s="337"/>
    </row>
    <row r="18" spans="2:26" ht="23">
      <c r="C18" s="116"/>
      <c r="I18" s="5"/>
      <c r="J18" s="336"/>
      <c r="N18" s="320"/>
      <c r="O18" s="248"/>
      <c r="P18" s="326"/>
      <c r="Q18" s="326"/>
      <c r="R18" s="23"/>
      <c r="S18" s="327"/>
      <c r="T18"/>
      <c r="U18"/>
      <c r="V18" s="323"/>
      <c r="W18" s="337"/>
    </row>
    <row r="19" spans="2:26" ht="23">
      <c r="C19" s="116"/>
      <c r="F19" s="5" t="s">
        <v>236</v>
      </c>
      <c r="G19" s="5" t="s">
        <v>237</v>
      </c>
      <c r="I19" s="5" t="s">
        <v>238</v>
      </c>
      <c r="N19" s="320">
        <f>P19/5</f>
        <v>25000000</v>
      </c>
      <c r="O19" s="248">
        <f>P19/7</f>
        <v>17857142.857142858</v>
      </c>
      <c r="P19" s="326">
        <v>125000000</v>
      </c>
      <c r="Q19" s="326"/>
      <c r="R19" s="23">
        <f t="shared" ref="R19" si="5">14%+12%</f>
        <v>0.26</v>
      </c>
      <c r="S19" s="327"/>
      <c r="T19" t="s">
        <v>231</v>
      </c>
      <c r="U19" t="s">
        <v>232</v>
      </c>
      <c r="V19" s="323">
        <f>R19*P19</f>
        <v>32500000</v>
      </c>
      <c r="W19" s="317" t="s">
        <v>221</v>
      </c>
    </row>
    <row r="20" spans="2:26">
      <c r="D20" s="2" t="s">
        <v>239</v>
      </c>
      <c r="E20" s="6"/>
      <c r="F20" s="6" t="s">
        <v>240</v>
      </c>
      <c r="G20" s="5" t="s">
        <v>240</v>
      </c>
      <c r="H20" s="5" t="s">
        <v>241</v>
      </c>
      <c r="I20" s="5" t="s">
        <v>242</v>
      </c>
      <c r="J20" s="5" t="s">
        <v>243</v>
      </c>
      <c r="K20" s="5" t="s">
        <v>244</v>
      </c>
      <c r="N20" s="338"/>
      <c r="O20" s="248"/>
      <c r="P20" s="326"/>
      <c r="Q20" s="326"/>
      <c r="T20"/>
      <c r="U20"/>
      <c r="W20" s="337"/>
    </row>
    <row r="21" spans="2:26">
      <c r="B21" s="24"/>
      <c r="C21" s="24"/>
      <c r="D21" s="339"/>
      <c r="E21" t="s">
        <v>245</v>
      </c>
      <c r="F21" s="159">
        <f>G21/12</f>
        <v>5000000</v>
      </c>
      <c r="G21" s="159">
        <f>I21/H21</f>
        <v>60000000</v>
      </c>
      <c r="H21" s="340">
        <v>2.5000000000000001E-2</v>
      </c>
      <c r="I21" s="248">
        <v>1500000</v>
      </c>
      <c r="J21" s="1">
        <f>I21*5</f>
        <v>7500000</v>
      </c>
      <c r="K21" s="1">
        <f>I21*7</f>
        <v>10500000</v>
      </c>
      <c r="N21" s="320">
        <f>P21/5</f>
        <v>35000000</v>
      </c>
      <c r="O21" s="248">
        <f>P21/7</f>
        <v>25000000</v>
      </c>
      <c r="P21" s="326">
        <v>175000000</v>
      </c>
      <c r="Q21" s="326"/>
      <c r="R21" s="23">
        <f t="shared" ref="R21" si="6">14%+12%</f>
        <v>0.26</v>
      </c>
      <c r="S21" s="327"/>
      <c r="T21" t="s">
        <v>231</v>
      </c>
      <c r="U21" t="s">
        <v>232</v>
      </c>
      <c r="V21" s="323">
        <f>R21*P21</f>
        <v>45500000</v>
      </c>
      <c r="W21" s="317" t="s">
        <v>221</v>
      </c>
      <c r="Y21" s="317"/>
      <c r="Z21" s="10"/>
    </row>
    <row r="22" spans="2:26">
      <c r="B22" s="24"/>
      <c r="C22" s="24"/>
      <c r="D22" s="135"/>
      <c r="E22" t="s">
        <v>246</v>
      </c>
      <c r="F22" s="159">
        <f t="shared" ref="F22:F25" si="7">G22/12</f>
        <v>10000000</v>
      </c>
      <c r="G22" s="159">
        <f t="shared" ref="G22:G25" si="8">I22/H22</f>
        <v>120000000</v>
      </c>
      <c r="H22" s="340">
        <v>2.5000000000000001E-2</v>
      </c>
      <c r="I22" s="248">
        <f>3000000</f>
        <v>3000000</v>
      </c>
      <c r="J22" s="1">
        <f>I22*5</f>
        <v>15000000</v>
      </c>
      <c r="K22" s="1">
        <f t="shared" ref="K22:K25" si="9">I22*7</f>
        <v>21000000</v>
      </c>
      <c r="N22" s="312"/>
      <c r="O22" s="317"/>
      <c r="R22" s="24"/>
      <c r="S22" s="24"/>
      <c r="T22" s="341"/>
      <c r="U22" s="254"/>
      <c r="V22" s="342"/>
      <c r="W22" s="317"/>
      <c r="Z22" s="10"/>
    </row>
    <row r="23" spans="2:26">
      <c r="E23" t="s">
        <v>247</v>
      </c>
      <c r="F23" s="159">
        <f t="shared" si="7"/>
        <v>21666666.666666668</v>
      </c>
      <c r="G23" s="159">
        <f t="shared" si="8"/>
        <v>260000000</v>
      </c>
      <c r="H23" s="340">
        <v>2.5000000000000001E-2</v>
      </c>
      <c r="I23" s="343">
        <v>6500000</v>
      </c>
      <c r="J23" s="1">
        <f>I23*5</f>
        <v>32500000</v>
      </c>
      <c r="K23" s="1">
        <f t="shared" si="9"/>
        <v>45500000</v>
      </c>
      <c r="N23" s="317"/>
      <c r="O23" s="317"/>
      <c r="P23" s="317"/>
      <c r="Q23" s="317"/>
      <c r="T23"/>
      <c r="U23"/>
      <c r="V23" s="135"/>
      <c r="Z23" s="10"/>
    </row>
    <row r="24" spans="2:26">
      <c r="E24" t="s">
        <v>248</v>
      </c>
      <c r="F24" s="159">
        <f t="shared" si="7"/>
        <v>33333333.333333332</v>
      </c>
      <c r="G24" s="159">
        <f t="shared" si="8"/>
        <v>400000000</v>
      </c>
      <c r="H24" s="340">
        <v>2.5000000000000001E-2</v>
      </c>
      <c r="I24" s="248">
        <v>10000000</v>
      </c>
      <c r="J24" s="1">
        <f>I24*5</f>
        <v>50000000</v>
      </c>
      <c r="K24" s="1">
        <f t="shared" si="9"/>
        <v>70000000</v>
      </c>
      <c r="W24" s="10"/>
    </row>
    <row r="25" spans="2:26">
      <c r="E25" t="s">
        <v>249</v>
      </c>
      <c r="F25" s="159">
        <f t="shared" si="7"/>
        <v>50000000</v>
      </c>
      <c r="G25" s="159">
        <f t="shared" si="8"/>
        <v>600000000</v>
      </c>
      <c r="H25" s="340">
        <v>2.5000000000000001E-2</v>
      </c>
      <c r="I25" s="248">
        <v>15000000</v>
      </c>
      <c r="J25" s="1">
        <f>I25*5</f>
        <v>75000000</v>
      </c>
      <c r="K25" s="1">
        <f t="shared" si="9"/>
        <v>105000000</v>
      </c>
      <c r="N25" s="317"/>
      <c r="P25" s="344"/>
      <c r="Q25" s="344"/>
      <c r="R25" s="344"/>
      <c r="S25" s="345"/>
      <c r="T25" s="143"/>
      <c r="U25" s="143"/>
      <c r="V25" s="10"/>
    </row>
    <row r="26" spans="2:26">
      <c r="G26" s="159"/>
      <c r="H26" s="340"/>
      <c r="I26" s="248"/>
      <c r="J26" s="240"/>
      <c r="K26" s="240"/>
      <c r="N26" s="317"/>
      <c r="O26" s="346" t="s">
        <v>250</v>
      </c>
      <c r="P26" s="317"/>
      <c r="S26" t="s">
        <v>219</v>
      </c>
      <c r="T26"/>
      <c r="U26" s="135"/>
      <c r="V26" s="10"/>
    </row>
    <row r="27" spans="2:26">
      <c r="D27" s="2" t="s">
        <v>251</v>
      </c>
      <c r="E27" s="5">
        <v>2024</v>
      </c>
      <c r="F27" s="164">
        <f>G27/12</f>
        <v>83333333.333333328</v>
      </c>
      <c r="G27" s="164">
        <v>1000000000</v>
      </c>
      <c r="H27" s="347">
        <v>2.5000000000000001E-2</v>
      </c>
      <c r="I27" s="8">
        <f>G34</f>
        <v>25000000</v>
      </c>
      <c r="J27" s="8">
        <f>I34</f>
        <v>125000000</v>
      </c>
      <c r="K27" s="8">
        <f>I27*7</f>
        <v>175000000</v>
      </c>
      <c r="N27" s="317"/>
      <c r="O27" s="346"/>
      <c r="P27" s="344" t="s">
        <v>252</v>
      </c>
      <c r="Q27" s="344"/>
      <c r="R27" s="344"/>
      <c r="S27" s="345">
        <v>0.42</v>
      </c>
      <c r="T27" s="143" t="s">
        <v>253</v>
      </c>
      <c r="U27" s="143" t="s">
        <v>254</v>
      </c>
      <c r="V27" s="10"/>
    </row>
    <row r="28" spans="2:26">
      <c r="N28" s="348" t="s">
        <v>255</v>
      </c>
      <c r="O28" s="346"/>
      <c r="P28" s="344" t="s">
        <v>256</v>
      </c>
      <c r="Q28" s="143"/>
      <c r="R28" s="143"/>
      <c r="S28" s="143"/>
      <c r="T28" s="143"/>
      <c r="U28" s="143"/>
      <c r="V28" s="10"/>
    </row>
    <row r="29" spans="2:26" hidden="1">
      <c r="N29" s="317"/>
      <c r="O29" s="346" t="s">
        <v>257</v>
      </c>
      <c r="P29" s="349"/>
      <c r="Q29" s="143"/>
      <c r="R29" s="143"/>
      <c r="S29" s="143"/>
      <c r="T29" s="143"/>
      <c r="U29" s="350"/>
    </row>
    <row r="30" spans="2:26">
      <c r="N30" s="317"/>
      <c r="O30" s="346"/>
      <c r="T30" s="23"/>
      <c r="U30"/>
    </row>
    <row r="31" spans="2:26" ht="23">
      <c r="C31" s="351" t="s">
        <v>258</v>
      </c>
      <c r="D31" s="143"/>
      <c r="E31" s="143"/>
      <c r="F31" s="143"/>
      <c r="G31" s="143"/>
      <c r="N31" s="317"/>
      <c r="O31" s="346"/>
      <c r="P31" s="349"/>
      <c r="Q31" s="143"/>
      <c r="R31" s="143"/>
      <c r="S31" s="338" t="s">
        <v>259</v>
      </c>
      <c r="T31" s="352" t="s">
        <v>260</v>
      </c>
      <c r="U31" s="338" t="s">
        <v>261</v>
      </c>
      <c r="V31" s="10"/>
    </row>
    <row r="32" spans="2:26" ht="20">
      <c r="C32" s="143" t="s">
        <v>262</v>
      </c>
      <c r="D32" s="143"/>
      <c r="E32" s="434" t="s">
        <v>263</v>
      </c>
      <c r="F32" s="435"/>
      <c r="G32" s="352" t="s">
        <v>264</v>
      </c>
      <c r="H32" s="353" t="s">
        <v>26</v>
      </c>
      <c r="I32" s="5" t="s">
        <v>265</v>
      </c>
      <c r="J32" s="5" t="s">
        <v>265</v>
      </c>
      <c r="K32" s="354" t="s">
        <v>266</v>
      </c>
      <c r="N32" s="317"/>
      <c r="O32" s="5"/>
      <c r="P32" s="349"/>
      <c r="Q32" s="355" t="s">
        <v>267</v>
      </c>
      <c r="R32" s="355"/>
      <c r="S32" s="341">
        <v>0.59199999999999997</v>
      </c>
      <c r="T32" s="356">
        <v>0.14799999999999999</v>
      </c>
      <c r="U32" s="342">
        <v>0.26</v>
      </c>
      <c r="V32" s="10"/>
    </row>
    <row r="33" spans="3:22" ht="20">
      <c r="C33" s="143" t="s">
        <v>268</v>
      </c>
      <c r="D33" s="344"/>
      <c r="E33" s="436" t="s">
        <v>240</v>
      </c>
      <c r="F33" s="437"/>
      <c r="G33" s="352" t="s">
        <v>144</v>
      </c>
      <c r="H33" s="353" t="s">
        <v>27</v>
      </c>
      <c r="I33" s="5" t="s">
        <v>243</v>
      </c>
      <c r="J33" s="5" t="s">
        <v>244</v>
      </c>
      <c r="L33" s="317"/>
      <c r="M33" s="317"/>
      <c r="N33" s="354"/>
      <c r="O33" s="357"/>
      <c r="P33" s="349"/>
      <c r="Q33" s="143"/>
      <c r="R33" s="143"/>
      <c r="S33" s="143"/>
      <c r="T33" s="143"/>
      <c r="U33" s="350" t="s">
        <v>269</v>
      </c>
      <c r="V33" s="10"/>
    </row>
    <row r="34" spans="3:22">
      <c r="C34" s="358">
        <v>2.5000000000000001E-2</v>
      </c>
      <c r="D34" s="143"/>
      <c r="E34" s="438">
        <f>G27</f>
        <v>1000000000</v>
      </c>
      <c r="F34" s="437"/>
      <c r="G34" s="359">
        <f>E34*C34</f>
        <v>25000000</v>
      </c>
      <c r="H34" s="360">
        <v>5</v>
      </c>
      <c r="I34" s="240">
        <f>H34*G34</f>
        <v>125000000</v>
      </c>
      <c r="J34" s="240">
        <f>G34*7</f>
        <v>175000000</v>
      </c>
      <c r="N34" s="317"/>
      <c r="O34" s="317"/>
      <c r="T34" s="135"/>
      <c r="U34"/>
      <c r="V34" s="10"/>
    </row>
    <row r="35" spans="3:22">
      <c r="P35" s="135"/>
      <c r="T35"/>
      <c r="U35">
        <f>24+18</f>
        <v>42</v>
      </c>
      <c r="V35" s="10"/>
    </row>
    <row r="36" spans="3:22">
      <c r="E36" s="135" t="s">
        <v>270</v>
      </c>
      <c r="G36" s="135" t="s">
        <v>26</v>
      </c>
      <c r="H36" s="135" t="s">
        <v>270</v>
      </c>
      <c r="T36"/>
      <c r="U36" s="6"/>
      <c r="V36" s="10"/>
    </row>
    <row r="37" spans="3:22">
      <c r="E37" s="5" t="s">
        <v>271</v>
      </c>
      <c r="G37" s="5" t="s">
        <v>272</v>
      </c>
      <c r="H37" s="5" t="s">
        <v>273</v>
      </c>
      <c r="T37"/>
      <c r="U37" s="6"/>
      <c r="V37" s="10"/>
    </row>
    <row r="38" spans="3:22">
      <c r="E38" s="357">
        <f>E34/12</f>
        <v>83333333.333333328</v>
      </c>
      <c r="G38" s="240">
        <f>G34/12*3</f>
        <v>6250000</v>
      </c>
      <c r="H38" s="240">
        <f>G34/12</f>
        <v>2083333.3333333333</v>
      </c>
      <c r="T38"/>
      <c r="U38" s="6"/>
      <c r="V38" s="10"/>
    </row>
    <row r="39" spans="3:22">
      <c r="T39"/>
      <c r="U39" s="6"/>
      <c r="V39" s="10"/>
    </row>
    <row r="40" spans="3:22" ht="18">
      <c r="C40" s="177" t="s">
        <v>274</v>
      </c>
    </row>
    <row r="41" spans="3:22" ht="18">
      <c r="C41" s="177"/>
    </row>
    <row r="42" spans="3:22" ht="18">
      <c r="C42" s="177"/>
    </row>
    <row r="43" spans="3:22" ht="18">
      <c r="C43" s="177"/>
    </row>
    <row r="44" spans="3:22" ht="18">
      <c r="C44" s="177"/>
    </row>
    <row r="46" spans="3:22" ht="23">
      <c r="C46" s="116" t="s">
        <v>275</v>
      </c>
      <c r="P46" s="361"/>
      <c r="U46" s="10" t="s">
        <v>276</v>
      </c>
    </row>
    <row r="47" spans="3:22">
      <c r="U47" s="10" t="s">
        <v>277</v>
      </c>
    </row>
    <row r="48" spans="3:22" ht="23">
      <c r="E48" s="10">
        <f>G48/E52</f>
        <v>0.02</v>
      </c>
      <c r="G48" s="362">
        <v>0.2</v>
      </c>
      <c r="P48" s="361" t="s">
        <v>278</v>
      </c>
      <c r="S48" s="24" t="s">
        <v>40</v>
      </c>
      <c r="T48" s="363">
        <v>25000000</v>
      </c>
      <c r="U48" s="1">
        <f>G52+G74</f>
        <v>5500000</v>
      </c>
      <c r="V48" s="247">
        <f>U48*1.2</f>
        <v>6600000</v>
      </c>
    </row>
    <row r="49" spans="4:23">
      <c r="G49" s="135" t="s">
        <v>279</v>
      </c>
      <c r="H49" s="364" t="s">
        <v>280</v>
      </c>
      <c r="I49" s="364" t="s">
        <v>280</v>
      </c>
    </row>
    <row r="50" spans="4:23">
      <c r="H50" s="364" t="s">
        <v>170</v>
      </c>
      <c r="I50" s="364" t="s">
        <v>164</v>
      </c>
      <c r="J50" s="2" t="s">
        <v>177</v>
      </c>
      <c r="K50" t="s">
        <v>281</v>
      </c>
    </row>
    <row r="51" spans="4:23">
      <c r="E51" s="135" t="s">
        <v>161</v>
      </c>
      <c r="F51" s="135" t="s">
        <v>162</v>
      </c>
      <c r="G51" s="135" t="s">
        <v>163</v>
      </c>
      <c r="H51" s="364" t="s">
        <v>282</v>
      </c>
      <c r="I51" s="364" t="s">
        <v>283</v>
      </c>
      <c r="J51" s="6"/>
      <c r="L51" t="s">
        <v>168</v>
      </c>
      <c r="M51" s="135" t="str">
        <f>"Discount Rate (" &amp; O52/F52 &amp; "X)"</f>
        <v>Discount Rate (1.2X)</v>
      </c>
      <c r="N51" t="s">
        <v>167</v>
      </c>
      <c r="O51" t="s">
        <v>171</v>
      </c>
      <c r="P51" t="s">
        <v>165</v>
      </c>
      <c r="Q51" t="s">
        <v>284</v>
      </c>
      <c r="R51" s="1" t="s">
        <v>285</v>
      </c>
      <c r="S51" t="s">
        <v>286</v>
      </c>
      <c r="T51" s="6" t="s">
        <v>287</v>
      </c>
      <c r="U51" s="6"/>
      <c r="V51" s="10" t="s">
        <v>288</v>
      </c>
    </row>
    <row r="52" spans="4:23" ht="20">
      <c r="D52" s="12" t="s">
        <v>289</v>
      </c>
      <c r="E52" s="21">
        <v>10</v>
      </c>
      <c r="F52" s="20">
        <v>250000</v>
      </c>
      <c r="G52" s="1">
        <f>F52*E52</f>
        <v>2500000</v>
      </c>
      <c r="H52" s="365">
        <f>G52/G48</f>
        <v>12500000</v>
      </c>
      <c r="I52" s="366">
        <f>H52+5000000</f>
        <v>17500000</v>
      </c>
      <c r="J52" s="8"/>
      <c r="K52" s="10"/>
      <c r="L52" s="1">
        <f>H52</f>
        <v>12500000</v>
      </c>
      <c r="M52" s="10">
        <v>0.2</v>
      </c>
      <c r="N52" s="248">
        <f>F52*M52</f>
        <v>50000</v>
      </c>
      <c r="O52" s="248">
        <f>N52+F52</f>
        <v>300000</v>
      </c>
      <c r="P52" s="10">
        <f>O52/L52</f>
        <v>2.4E-2</v>
      </c>
      <c r="Q52">
        <v>0</v>
      </c>
      <c r="R52" s="1">
        <f>Q52*F52</f>
        <v>0</v>
      </c>
      <c r="S52" s="248">
        <v>0</v>
      </c>
      <c r="T52" s="367">
        <f>O52</f>
        <v>300000</v>
      </c>
      <c r="U52" s="367"/>
      <c r="V52" s="10">
        <f>T52/L52</f>
        <v>2.4E-2</v>
      </c>
    </row>
    <row r="53" spans="4:23">
      <c r="H53" s="135"/>
      <c r="J53" s="6"/>
      <c r="U53" s="6"/>
      <c r="V53" s="10"/>
    </row>
    <row r="54" spans="4:23">
      <c r="J54" s="368" t="s">
        <v>178</v>
      </c>
      <c r="K54" s="369" t="s">
        <v>290</v>
      </c>
      <c r="U54" s="6"/>
      <c r="V54" s="10"/>
    </row>
    <row r="55" spans="4:23">
      <c r="E55" s="1"/>
      <c r="G55" s="1"/>
      <c r="J55" s="6"/>
      <c r="L55" s="135" t="s">
        <v>155</v>
      </c>
      <c r="M55" s="135" t="s">
        <v>166</v>
      </c>
      <c r="N55" t="s">
        <v>169</v>
      </c>
      <c r="O55" t="s">
        <v>171</v>
      </c>
      <c r="P55" t="s">
        <v>165</v>
      </c>
      <c r="Q55" t="s">
        <v>284</v>
      </c>
      <c r="U55" s="6"/>
      <c r="V55" s="10"/>
    </row>
    <row r="56" spans="4:23">
      <c r="I56" s="14"/>
      <c r="J56" s="6"/>
      <c r="L56" s="370">
        <f>T48</f>
        <v>25000000</v>
      </c>
      <c r="M56" s="253">
        <f>L56/I52</f>
        <v>1.4285714285714286</v>
      </c>
      <c r="N56" s="1">
        <f>O56-F52</f>
        <v>107142.85714285716</v>
      </c>
      <c r="O56" s="1">
        <f>F52*M56</f>
        <v>357142.85714285716</v>
      </c>
      <c r="P56" s="10">
        <f>O56/L56</f>
        <v>1.4285714285714287E-2</v>
      </c>
      <c r="Q56">
        <f>IF(O56/F52 &lt; 2, 1, 0)</f>
        <v>1</v>
      </c>
      <c r="R56" s="1">
        <f>Q56*F52</f>
        <v>250000</v>
      </c>
      <c r="S56" s="248">
        <f>IF(Q56,R56-O56,0)</f>
        <v>-107142.85714285716</v>
      </c>
      <c r="T56" s="367">
        <f>IF(S56&gt;0,S56+O56,O56)</f>
        <v>357142.85714285716</v>
      </c>
      <c r="U56" s="367"/>
      <c r="V56" s="10">
        <f>T56/L56</f>
        <v>1.4285714285714287E-2</v>
      </c>
      <c r="W56" s="5" t="str">
        <f>IF(L56&gt;I52,"B")</f>
        <v>B</v>
      </c>
    </row>
    <row r="57" spans="4:23">
      <c r="J57" s="6"/>
      <c r="V57" s="5"/>
    </row>
    <row r="58" spans="4:23">
      <c r="J58" s="2" t="s">
        <v>179</v>
      </c>
      <c r="K58" t="s">
        <v>291</v>
      </c>
      <c r="V58" s="5"/>
    </row>
    <row r="59" spans="4:23">
      <c r="J59" s="6"/>
      <c r="L59" s="135" t="s">
        <v>155</v>
      </c>
      <c r="M59" s="135" t="s">
        <v>166</v>
      </c>
      <c r="N59" t="s">
        <v>169</v>
      </c>
      <c r="O59" t="s">
        <v>171</v>
      </c>
      <c r="P59" t="s">
        <v>165</v>
      </c>
      <c r="Q59" t="s">
        <v>284</v>
      </c>
      <c r="T59" s="6" t="s">
        <v>292</v>
      </c>
      <c r="U59" s="10" t="s">
        <v>293</v>
      </c>
      <c r="V59" s="5"/>
    </row>
    <row r="60" spans="4:23">
      <c r="J60" s="6"/>
      <c r="L60" s="370">
        <f>T48</f>
        <v>25000000</v>
      </c>
      <c r="M60" s="252">
        <f>H52/L60</f>
        <v>0.5</v>
      </c>
      <c r="N60" s="248">
        <f>O60-F52</f>
        <v>-125000</v>
      </c>
      <c r="O60" s="248">
        <f>F52*M60</f>
        <v>125000</v>
      </c>
      <c r="P60" s="10">
        <f>O60/L60</f>
        <v>5.0000000000000001E-3</v>
      </c>
      <c r="Q60">
        <v>1</v>
      </c>
      <c r="R60" s="1">
        <f>Q60*F52</f>
        <v>250000</v>
      </c>
      <c r="S60" s="371">
        <f>O60-R60</f>
        <v>-125000</v>
      </c>
      <c r="T60" s="367">
        <f>IF(OR(O60&lt;F52,O60&gt;F52),F52,O60)</f>
        <v>250000</v>
      </c>
      <c r="U60" s="367">
        <f>T60*1.2</f>
        <v>300000</v>
      </c>
      <c r="V60" s="10">
        <f>U60/L60</f>
        <v>1.2E-2</v>
      </c>
      <c r="W60" s="5" t="b">
        <f>IF(L60&lt;H52,"C")</f>
        <v>0</v>
      </c>
    </row>
    <row r="61" spans="4:23">
      <c r="J61" s="6"/>
      <c r="U61" s="6"/>
      <c r="V61" s="10"/>
      <c r="W61" s="5"/>
    </row>
    <row r="62" spans="4:23">
      <c r="J62" s="2" t="s">
        <v>180</v>
      </c>
      <c r="K62" t="s">
        <v>294</v>
      </c>
      <c r="U62" s="6"/>
      <c r="V62" s="10"/>
      <c r="W62" s="5"/>
    </row>
    <row r="63" spans="4:23">
      <c r="J63" s="6"/>
      <c r="L63" s="135" t="s">
        <v>155</v>
      </c>
      <c r="M63" s="135" t="str">
        <f>"Discount Rate (" &amp; O64/F52 &amp; "X)"</f>
        <v>Discount Rate (1.2X)</v>
      </c>
      <c r="N63" t="s">
        <v>167</v>
      </c>
      <c r="O63" t="s">
        <v>171</v>
      </c>
      <c r="P63" t="s">
        <v>165</v>
      </c>
      <c r="Q63" t="s">
        <v>284</v>
      </c>
      <c r="U63" s="6"/>
      <c r="V63" s="10"/>
      <c r="W63" s="5"/>
    </row>
    <row r="64" spans="4:23">
      <c r="J64" s="6"/>
      <c r="L64" s="370">
        <f>T48</f>
        <v>25000000</v>
      </c>
      <c r="M64" s="23">
        <v>0.2</v>
      </c>
      <c r="N64" s="1">
        <f>M64*F52</f>
        <v>50000</v>
      </c>
      <c r="O64" s="1">
        <f>N64+F52</f>
        <v>300000</v>
      </c>
      <c r="P64" s="10">
        <f>O64/L64</f>
        <v>1.2E-2</v>
      </c>
      <c r="Q64">
        <f>IF(O64/F52 &lt; 2, 1, 1)</f>
        <v>1</v>
      </c>
      <c r="R64" s="1">
        <f>Q64*F52</f>
        <v>250000</v>
      </c>
      <c r="S64" s="248">
        <f>R64-O64</f>
        <v>-50000</v>
      </c>
      <c r="T64" s="367">
        <f>IF(S64&gt;0,S64+O64,O64)</f>
        <v>300000</v>
      </c>
      <c r="U64" s="367"/>
      <c r="V64" s="10">
        <f>T64/L64</f>
        <v>1.2E-2</v>
      </c>
      <c r="W64" s="5" t="b">
        <f>IF(AND(L64&gt;=H52,L64&lt;=I52),"D")</f>
        <v>0</v>
      </c>
    </row>
    <row r="65" spans="3:23">
      <c r="J65" s="6"/>
      <c r="L65" s="1"/>
      <c r="M65" s="23"/>
      <c r="N65" s="1"/>
      <c r="O65" s="1"/>
      <c r="P65" s="10"/>
    </row>
    <row r="66" spans="3:23">
      <c r="J66" s="6"/>
    </row>
    <row r="67" spans="3:23" ht="7" customHeight="1">
      <c r="C67" s="250"/>
      <c r="D67" s="250"/>
      <c r="E67" s="250"/>
      <c r="F67" s="250"/>
      <c r="G67" s="250"/>
      <c r="H67" s="250"/>
      <c r="I67" s="250"/>
      <c r="J67" s="251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</row>
    <row r="68" spans="3:23">
      <c r="J68" s="6"/>
    </row>
    <row r="69" spans="3:23">
      <c r="J69" s="6"/>
    </row>
    <row r="70" spans="3:23" ht="23">
      <c r="E70" s="10">
        <f>G70/E74</f>
        <v>1.2499999999999999E-2</v>
      </c>
      <c r="G70" s="362">
        <v>0.15</v>
      </c>
      <c r="J70" s="6"/>
      <c r="K70" s="372"/>
      <c r="M70" s="372"/>
      <c r="P70" s="361" t="s">
        <v>295</v>
      </c>
    </row>
    <row r="71" spans="3:23">
      <c r="G71" s="135" t="s">
        <v>279</v>
      </c>
      <c r="H71" s="364" t="s">
        <v>280</v>
      </c>
      <c r="I71" s="364" t="s">
        <v>280</v>
      </c>
      <c r="J71" s="6"/>
    </row>
    <row r="72" spans="3:23">
      <c r="H72" s="364" t="s">
        <v>170</v>
      </c>
      <c r="I72" s="364" t="s">
        <v>164</v>
      </c>
      <c r="J72" s="2" t="s">
        <v>177</v>
      </c>
      <c r="K72" t="s">
        <v>281</v>
      </c>
    </row>
    <row r="73" spans="3:23">
      <c r="E73" s="135" t="s">
        <v>161</v>
      </c>
      <c r="F73" s="135" t="s">
        <v>162</v>
      </c>
      <c r="G73" s="135" t="s">
        <v>163</v>
      </c>
      <c r="H73" s="364" t="s">
        <v>282</v>
      </c>
      <c r="I73" s="364" t="s">
        <v>283</v>
      </c>
      <c r="J73" s="6"/>
      <c r="L73" t="s">
        <v>168</v>
      </c>
      <c r="M73" s="135" t="str">
        <f>"Discount Rate (" &amp; O74/F74 &amp; "X)"</f>
        <v>Discount Rate (1.2X)</v>
      </c>
      <c r="N73" t="s">
        <v>167</v>
      </c>
      <c r="O73" t="s">
        <v>171</v>
      </c>
      <c r="P73" t="s">
        <v>165</v>
      </c>
      <c r="Q73" t="s">
        <v>284</v>
      </c>
      <c r="R73" s="1" t="s">
        <v>285</v>
      </c>
      <c r="S73" t="s">
        <v>286</v>
      </c>
      <c r="T73" s="6" t="s">
        <v>287</v>
      </c>
      <c r="U73" s="6"/>
      <c r="V73" s="10" t="s">
        <v>288</v>
      </c>
    </row>
    <row r="74" spans="3:23" ht="20">
      <c r="D74" s="12" t="s">
        <v>296</v>
      </c>
      <c r="E74" s="21">
        <v>12</v>
      </c>
      <c r="F74" s="20">
        <v>250000</v>
      </c>
      <c r="G74" s="1">
        <f>F74*E74</f>
        <v>3000000</v>
      </c>
      <c r="H74" s="365">
        <f>G74/G70</f>
        <v>20000000</v>
      </c>
      <c r="I74" s="366">
        <v>25000000</v>
      </c>
      <c r="J74" s="8"/>
      <c r="K74" s="10"/>
      <c r="L74" s="1">
        <f>H74</f>
        <v>20000000</v>
      </c>
      <c r="M74" s="10">
        <v>0.2</v>
      </c>
      <c r="N74" s="248">
        <f>F74*M74</f>
        <v>50000</v>
      </c>
      <c r="O74" s="248">
        <f>N74+F74</f>
        <v>300000</v>
      </c>
      <c r="P74" s="10">
        <f>O74/L74</f>
        <v>1.4999999999999999E-2</v>
      </c>
      <c r="Q74">
        <v>0</v>
      </c>
      <c r="R74" s="1">
        <f>Q74*F74</f>
        <v>0</v>
      </c>
      <c r="S74" s="248">
        <v>0</v>
      </c>
      <c r="T74" s="367">
        <f>O74</f>
        <v>300000</v>
      </c>
      <c r="U74" s="367"/>
      <c r="V74" s="10">
        <f>T74/L74</f>
        <v>1.4999999999999999E-2</v>
      </c>
    </row>
    <row r="75" spans="3:23">
      <c r="J75" s="6"/>
      <c r="U75" s="6"/>
      <c r="V75" s="10"/>
    </row>
    <row r="76" spans="3:23">
      <c r="J76" s="368" t="s">
        <v>178</v>
      </c>
      <c r="K76" s="369" t="s">
        <v>290</v>
      </c>
      <c r="U76" s="6"/>
      <c r="V76" s="10"/>
    </row>
    <row r="77" spans="3:23">
      <c r="J77" s="6"/>
      <c r="L77" s="135" t="s">
        <v>155</v>
      </c>
      <c r="M77" s="135" t="s">
        <v>166</v>
      </c>
      <c r="N77" t="s">
        <v>169</v>
      </c>
      <c r="O77" t="s">
        <v>171</v>
      </c>
      <c r="P77" t="s">
        <v>165</v>
      </c>
      <c r="Q77" t="s">
        <v>284</v>
      </c>
      <c r="U77" s="6"/>
      <c r="V77" s="10" t="s">
        <v>288</v>
      </c>
    </row>
    <row r="78" spans="3:23">
      <c r="I78" s="14"/>
      <c r="J78" s="6"/>
      <c r="L78" s="370">
        <f>T48</f>
        <v>25000000</v>
      </c>
      <c r="M78" s="253">
        <f>L78/I74</f>
        <v>1</v>
      </c>
      <c r="N78" s="1">
        <f>O78-F74</f>
        <v>0</v>
      </c>
      <c r="O78" s="1">
        <f>F74*M78</f>
        <v>250000</v>
      </c>
      <c r="P78" s="10">
        <f>O78/L78</f>
        <v>0.01</v>
      </c>
      <c r="Q78">
        <f>IF(O78/F74 &lt; 2, 1, 0)</f>
        <v>1</v>
      </c>
      <c r="R78" s="1">
        <f>Q78*F74</f>
        <v>250000</v>
      </c>
      <c r="S78" s="248">
        <f>IF(Q78,R78-O78,0)</f>
        <v>0</v>
      </c>
      <c r="T78" s="367">
        <f>IF(S78&gt;0,S78+O78,O78)</f>
        <v>250000</v>
      </c>
      <c r="U78" s="367"/>
      <c r="V78" s="10">
        <f>T78/L78</f>
        <v>0.01</v>
      </c>
      <c r="W78" s="5" t="b">
        <f>IF(L78&gt;I74,"B")</f>
        <v>0</v>
      </c>
    </row>
    <row r="79" spans="3:23">
      <c r="I79" s="14"/>
      <c r="J79" s="6"/>
      <c r="U79" s="6"/>
      <c r="V79" s="10"/>
      <c r="W79" s="5"/>
    </row>
    <row r="80" spans="3:23">
      <c r="J80" s="2" t="s">
        <v>179</v>
      </c>
      <c r="K80" t="s">
        <v>291</v>
      </c>
      <c r="U80" s="6"/>
      <c r="V80" s="10"/>
      <c r="W80" s="5"/>
    </row>
    <row r="81" spans="2:23">
      <c r="J81" s="6"/>
      <c r="L81" s="135" t="s">
        <v>155</v>
      </c>
      <c r="M81" s="135" t="s">
        <v>166</v>
      </c>
      <c r="N81" t="s">
        <v>169</v>
      </c>
      <c r="O81" t="s">
        <v>171</v>
      </c>
      <c r="P81" t="s">
        <v>165</v>
      </c>
      <c r="Q81" t="s">
        <v>284</v>
      </c>
      <c r="U81" s="10" t="s">
        <v>293</v>
      </c>
      <c r="V81" s="10" t="s">
        <v>288</v>
      </c>
      <c r="W81" s="5"/>
    </row>
    <row r="82" spans="2:23">
      <c r="J82" s="6"/>
      <c r="L82" s="370">
        <f>T48</f>
        <v>25000000</v>
      </c>
      <c r="M82" s="252">
        <f>H74/L82</f>
        <v>0.8</v>
      </c>
      <c r="N82" s="248">
        <f>O82-F74</f>
        <v>-50000</v>
      </c>
      <c r="O82" s="248">
        <f>F74*M82</f>
        <v>200000</v>
      </c>
      <c r="P82" s="10">
        <f>O82/L82</f>
        <v>8.0000000000000002E-3</v>
      </c>
      <c r="Q82">
        <v>1</v>
      </c>
      <c r="R82" s="1">
        <f>Q82*F74</f>
        <v>250000</v>
      </c>
      <c r="S82" s="371">
        <f>O82-R82</f>
        <v>-50000</v>
      </c>
      <c r="T82" s="367">
        <f>IF(OR(O82&lt;F74,O82&gt;F74),F74,O82)</f>
        <v>250000</v>
      </c>
      <c r="U82" s="367">
        <f>T82*1.2</f>
        <v>300000</v>
      </c>
      <c r="V82" s="10">
        <f>U82/L82</f>
        <v>1.2E-2</v>
      </c>
      <c r="W82" s="5" t="b">
        <f>IF(L82&lt;H74,"C")</f>
        <v>0</v>
      </c>
    </row>
    <row r="83" spans="2:23">
      <c r="J83" s="6"/>
      <c r="U83" s="6"/>
      <c r="V83" s="10"/>
      <c r="W83" s="5"/>
    </row>
    <row r="84" spans="2:23">
      <c r="J84" s="2" t="s">
        <v>180</v>
      </c>
      <c r="K84" t="s">
        <v>294</v>
      </c>
      <c r="U84" s="6"/>
      <c r="V84" s="10"/>
      <c r="W84" s="5"/>
    </row>
    <row r="85" spans="2:23">
      <c r="L85" s="135" t="s">
        <v>155</v>
      </c>
      <c r="M85" s="135" t="str">
        <f>"Discount Rate (" &amp; O86/F74 &amp; "X)"</f>
        <v>Discount Rate (1.2X)</v>
      </c>
      <c r="N85" t="s">
        <v>167</v>
      </c>
      <c r="O85" t="s">
        <v>171</v>
      </c>
      <c r="P85" t="s">
        <v>165</v>
      </c>
      <c r="Q85" t="s">
        <v>284</v>
      </c>
      <c r="U85" s="6"/>
      <c r="V85" s="10" t="s">
        <v>288</v>
      </c>
      <c r="W85" s="5"/>
    </row>
    <row r="86" spans="2:23">
      <c r="L86" s="370">
        <f>T48</f>
        <v>25000000</v>
      </c>
      <c r="M86" s="23">
        <v>0.2</v>
      </c>
      <c r="N86" s="1">
        <f>M86*F74</f>
        <v>50000</v>
      </c>
      <c r="O86" s="1">
        <f>N86+F74</f>
        <v>300000</v>
      </c>
      <c r="P86" s="10">
        <f>O86/L86</f>
        <v>1.2E-2</v>
      </c>
      <c r="Q86">
        <f>IF(O86/F74 &lt; 2, 1, 1)</f>
        <v>1</v>
      </c>
      <c r="R86" s="1">
        <f>Q86*F74</f>
        <v>250000</v>
      </c>
      <c r="S86" s="248">
        <f>R86-O86</f>
        <v>-50000</v>
      </c>
      <c r="T86" s="367">
        <f>IF(S86&gt;0,S86+O86,O86)</f>
        <v>300000</v>
      </c>
      <c r="U86" s="367"/>
      <c r="V86" s="10">
        <f>T86/L86</f>
        <v>1.2E-2</v>
      </c>
      <c r="W86" s="5" t="str">
        <f>IF(AND(L86&gt;=H74,L86&lt;=I74),"D")</f>
        <v>D</v>
      </c>
    </row>
    <row r="89" spans="2:23"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</row>
    <row r="91" spans="2:23" s="10" customFormat="1" ht="20">
      <c r="B91"/>
      <c r="C91" s="317"/>
      <c r="D91" s="317"/>
      <c r="E91" s="317"/>
      <c r="F91" s="348" t="s">
        <v>297</v>
      </c>
      <c r="G91" s="317"/>
      <c r="H91" s="317"/>
      <c r="I91" s="317"/>
      <c r="J91"/>
      <c r="K91" s="373">
        <f>T48</f>
        <v>25000000</v>
      </c>
      <c r="L91" s="374" t="s">
        <v>298</v>
      </c>
      <c r="M91" s="4"/>
      <c r="N91" s="4"/>
      <c r="O91" s="4"/>
      <c r="P91" s="4"/>
      <c r="Q91" s="375" t="s">
        <v>299</v>
      </c>
      <c r="R91"/>
      <c r="S91"/>
      <c r="T91" s="6"/>
      <c r="V91"/>
      <c r="W91"/>
    </row>
    <row r="92" spans="2:23" s="10" customFormat="1">
      <c r="B92"/>
      <c r="C92" s="348" t="s">
        <v>300</v>
      </c>
      <c r="D92" s="317"/>
      <c r="E92" s="360" t="s">
        <v>172</v>
      </c>
      <c r="F92" s="353" t="s">
        <v>173</v>
      </c>
      <c r="G92" s="353" t="s">
        <v>174</v>
      </c>
      <c r="H92" s="353" t="s">
        <v>175</v>
      </c>
      <c r="I92" s="353" t="s">
        <v>176</v>
      </c>
      <c r="J92" s="5"/>
      <c r="K92" s="376"/>
      <c r="L92" s="22"/>
      <c r="M92" s="22"/>
      <c r="N92" s="22"/>
      <c r="O92" s="377" t="str">
        <f>W56</f>
        <v>B</v>
      </c>
      <c r="P92" s="377" t="b">
        <f>W60</f>
        <v>0</v>
      </c>
      <c r="Q92" s="378" t="b">
        <f>W64</f>
        <v>0</v>
      </c>
      <c r="R92"/>
      <c r="S92"/>
      <c r="T92" s="6">
        <v>25</v>
      </c>
      <c r="U92" s="10">
        <v>1</v>
      </c>
      <c r="V92"/>
      <c r="W92"/>
    </row>
    <row r="93" spans="2:23" s="10" customFormat="1">
      <c r="B93"/>
      <c r="C93" s="379">
        <f>G52</f>
        <v>2500000</v>
      </c>
      <c r="D93" s="317" t="s">
        <v>301</v>
      </c>
      <c r="E93" s="360">
        <f>E52</f>
        <v>10</v>
      </c>
      <c r="F93" s="327">
        <f>P52*E93</f>
        <v>0.24</v>
      </c>
      <c r="G93" s="327">
        <f>P56*E93</f>
        <v>0.14285714285714288</v>
      </c>
      <c r="H93" s="327">
        <f>P60*E93</f>
        <v>0.05</v>
      </c>
      <c r="I93" s="327">
        <f>P64*E93</f>
        <v>0.12</v>
      </c>
      <c r="J93" s="23"/>
      <c r="K93" s="256"/>
      <c r="L93" s="25"/>
      <c r="M93" s="137" t="s">
        <v>181</v>
      </c>
      <c r="N93" s="138" t="s">
        <v>173</v>
      </c>
      <c r="O93" s="380" t="s">
        <v>174</v>
      </c>
      <c r="P93" s="138" t="s">
        <v>175</v>
      </c>
      <c r="Q93" s="264" t="s">
        <v>176</v>
      </c>
      <c r="R93"/>
      <c r="S93"/>
      <c r="T93" s="6">
        <v>50</v>
      </c>
      <c r="U93" s="10">
        <v>1.25</v>
      </c>
      <c r="V93"/>
      <c r="W93"/>
    </row>
    <row r="94" spans="2:23" s="10" customFormat="1">
      <c r="B94"/>
      <c r="C94" s="379">
        <f>G74</f>
        <v>3000000</v>
      </c>
      <c r="D94" s="317" t="s">
        <v>302</v>
      </c>
      <c r="E94" s="360">
        <f>E74</f>
        <v>12</v>
      </c>
      <c r="F94" s="327">
        <f>E94*P74</f>
        <v>0.18</v>
      </c>
      <c r="G94" s="327">
        <f>E94*P78</f>
        <v>0.12</v>
      </c>
      <c r="H94" s="327">
        <f>P82*E94</f>
        <v>9.6000000000000002E-2</v>
      </c>
      <c r="I94" s="327">
        <f>P86*E94</f>
        <v>0.14400000000000002</v>
      </c>
      <c r="J94" s="23"/>
      <c r="K94" s="256"/>
      <c r="L94" s="136" t="s">
        <v>183</v>
      </c>
      <c r="M94" s="233">
        <f>F52</f>
        <v>250000</v>
      </c>
      <c r="N94" s="257">
        <f>T52</f>
        <v>300000</v>
      </c>
      <c r="O94" s="381">
        <f>T56</f>
        <v>357142.85714285716</v>
      </c>
      <c r="P94" s="257">
        <f>U60</f>
        <v>300000</v>
      </c>
      <c r="Q94" s="259">
        <f>T64</f>
        <v>300000</v>
      </c>
      <c r="R94"/>
      <c r="S94"/>
      <c r="T94" s="272">
        <v>0.75</v>
      </c>
      <c r="U94" s="10">
        <v>1.75</v>
      </c>
      <c r="V94"/>
      <c r="W94"/>
    </row>
    <row r="95" spans="2:23" s="10" customFormat="1">
      <c r="B95"/>
      <c r="C95" s="317"/>
      <c r="D95" s="382"/>
      <c r="E95" s="317"/>
      <c r="F95" s="383"/>
      <c r="G95" s="383"/>
      <c r="H95" s="383"/>
      <c r="I95" s="383"/>
      <c r="J95" s="23"/>
      <c r="K95" s="256"/>
      <c r="L95" s="138" t="s">
        <v>303</v>
      </c>
      <c r="M95" s="233"/>
      <c r="N95" s="260" t="str">
        <f>TEXT(N94/M94, "#.##") &amp; "X"</f>
        <v>1.2X</v>
      </c>
      <c r="O95" s="384" t="str">
        <f>TEXT(O94/M94, "#.##") &amp; "X"</f>
        <v>1.43X</v>
      </c>
      <c r="P95" s="260" t="str">
        <f>TEXT(P94/M94, "#.##") &amp; "X"</f>
        <v>1.2X</v>
      </c>
      <c r="Q95" s="261" t="str">
        <f>TEXT(Q94/M94, "#.##") &amp; "X"</f>
        <v>1.2X</v>
      </c>
      <c r="R95"/>
      <c r="S95"/>
      <c r="T95" s="272"/>
      <c r="V95"/>
      <c r="W95"/>
    </row>
    <row r="96" spans="2:23" s="10" customFormat="1">
      <c r="B96"/>
      <c r="C96"/>
      <c r="D96"/>
      <c r="E96"/>
      <c r="F96"/>
      <c r="G96"/>
      <c r="H96"/>
      <c r="I96"/>
      <c r="J96"/>
      <c r="K96" s="256"/>
      <c r="L96" s="138"/>
      <c r="M96" s="233"/>
      <c r="N96" s="262">
        <f>V52</f>
        <v>2.4E-2</v>
      </c>
      <c r="O96" s="385">
        <f>V56</f>
        <v>1.4285714285714287E-2</v>
      </c>
      <c r="P96" s="262">
        <f>V60</f>
        <v>1.2E-2</v>
      </c>
      <c r="Q96" s="263">
        <f>V64</f>
        <v>1.2E-2</v>
      </c>
      <c r="R96"/>
      <c r="S96"/>
      <c r="T96" s="6"/>
      <c r="V96"/>
      <c r="W96"/>
    </row>
    <row r="97" spans="2:23" s="10" customFormat="1">
      <c r="B97"/>
      <c r="C97"/>
      <c r="D97"/>
      <c r="E97"/>
      <c r="F97"/>
      <c r="G97"/>
      <c r="H97"/>
      <c r="I97"/>
      <c r="J97"/>
      <c r="K97" s="267"/>
      <c r="L97" s="268"/>
      <c r="M97" s="269"/>
      <c r="N97" s="270"/>
      <c r="O97" s="386"/>
      <c r="P97" s="270"/>
      <c r="Q97" s="271"/>
      <c r="R97"/>
      <c r="S97"/>
      <c r="T97" s="6"/>
      <c r="V97"/>
      <c r="W97"/>
    </row>
    <row r="98" spans="2:23" s="10" customFormat="1">
      <c r="B98"/>
      <c r="C98"/>
      <c r="D98"/>
      <c r="E98"/>
      <c r="F98"/>
      <c r="G98"/>
      <c r="H98"/>
      <c r="I98"/>
      <c r="J98"/>
      <c r="K98" s="256"/>
      <c r="L98" s="138"/>
      <c r="M98" s="233"/>
      <c r="N98" s="22"/>
      <c r="O98" s="377" t="b">
        <f>W78</f>
        <v>0</v>
      </c>
      <c r="P98" s="377" t="b">
        <f>W82</f>
        <v>0</v>
      </c>
      <c r="Q98" s="378" t="str">
        <f>W86</f>
        <v>D</v>
      </c>
      <c r="R98"/>
      <c r="S98"/>
      <c r="T98" s="6"/>
      <c r="V98"/>
      <c r="W98"/>
    </row>
    <row r="99" spans="2:23" s="10" customFormat="1">
      <c r="B99"/>
      <c r="C99"/>
      <c r="D99"/>
      <c r="E99"/>
      <c r="F99" s="6" t="s">
        <v>297</v>
      </c>
      <c r="G99"/>
      <c r="H99"/>
      <c r="I99"/>
      <c r="J99"/>
      <c r="K99" s="256"/>
      <c r="L99" s="138"/>
      <c r="M99" s="137" t="s">
        <v>181</v>
      </c>
      <c r="N99" s="138" t="s">
        <v>173</v>
      </c>
      <c r="O99" s="387" t="s">
        <v>174</v>
      </c>
      <c r="P99" s="138" t="s">
        <v>175</v>
      </c>
      <c r="Q99" s="264" t="s">
        <v>176</v>
      </c>
      <c r="R99"/>
      <c r="S99"/>
      <c r="T99" s="6"/>
      <c r="V99"/>
      <c r="W99"/>
    </row>
    <row r="100" spans="2:23" s="10" customFormat="1">
      <c r="B100"/>
      <c r="C100" s="6" t="s">
        <v>300</v>
      </c>
      <c r="D100"/>
      <c r="E100" s="135" t="s">
        <v>172</v>
      </c>
      <c r="F100" s="5" t="s">
        <v>173</v>
      </c>
      <c r="G100" s="388" t="s">
        <v>174</v>
      </c>
      <c r="H100" s="5" t="s">
        <v>175</v>
      </c>
      <c r="I100" s="5" t="s">
        <v>176</v>
      </c>
      <c r="J100"/>
      <c r="K100" s="256"/>
      <c r="L100" s="136" t="s">
        <v>182</v>
      </c>
      <c r="M100" s="233">
        <f>F74</f>
        <v>250000</v>
      </c>
      <c r="N100" s="257">
        <f>T74</f>
        <v>300000</v>
      </c>
      <c r="O100" s="389">
        <f>T78</f>
        <v>250000</v>
      </c>
      <c r="P100" s="257">
        <f>U82</f>
        <v>300000</v>
      </c>
      <c r="Q100" s="259">
        <f>T86</f>
        <v>300000</v>
      </c>
      <c r="R100"/>
      <c r="S100"/>
      <c r="T100" s="6"/>
      <c r="V100"/>
      <c r="W100"/>
    </row>
    <row r="101" spans="2:23" s="10" customFormat="1">
      <c r="B101"/>
      <c r="C101" s="1">
        <f>G52</f>
        <v>2500000</v>
      </c>
      <c r="D101" t="s">
        <v>301</v>
      </c>
      <c r="E101" s="135">
        <v>10</v>
      </c>
      <c r="F101" s="10">
        <f>V52*E101</f>
        <v>0.24</v>
      </c>
      <c r="G101" s="390">
        <f>V56*E101</f>
        <v>0.14285714285714288</v>
      </c>
      <c r="H101" s="10">
        <f>V60*E101</f>
        <v>0.12</v>
      </c>
      <c r="I101" s="10">
        <f>V64*E101</f>
        <v>0.12</v>
      </c>
      <c r="J101"/>
      <c r="K101" s="256"/>
      <c r="L101" s="138" t="s">
        <v>303</v>
      </c>
      <c r="M101" s="7"/>
      <c r="N101" s="260" t="str">
        <f>TEXT(N100/M100, "#.##") &amp; "X"</f>
        <v>1.2X</v>
      </c>
      <c r="O101" s="391" t="str">
        <f>TEXT(O100/M100, "#.##") &amp; "X"</f>
        <v>1.X</v>
      </c>
      <c r="P101" s="260" t="str">
        <f>TEXT(P100/M100, "#.##") &amp; "X"</f>
        <v>1.2X</v>
      </c>
      <c r="Q101" s="261" t="str">
        <f>TEXT(Q100/M100, "#.##") &amp; "X"</f>
        <v>1.2X</v>
      </c>
      <c r="R101"/>
      <c r="S101"/>
      <c r="T101" s="6"/>
      <c r="V101"/>
      <c r="W101"/>
    </row>
    <row r="102" spans="2:23" s="10" customFormat="1">
      <c r="B102"/>
      <c r="C102" s="1">
        <f>G74</f>
        <v>3000000</v>
      </c>
      <c r="D102" t="s">
        <v>302</v>
      </c>
      <c r="E102" s="135">
        <v>12</v>
      </c>
      <c r="F102" s="10">
        <f>V74*E102</f>
        <v>0.18</v>
      </c>
      <c r="G102" s="390">
        <f>V78*E102</f>
        <v>0.12</v>
      </c>
      <c r="H102" s="10">
        <f>V82*E102</f>
        <v>0.14400000000000002</v>
      </c>
      <c r="I102" s="10">
        <f>V86*E102</f>
        <v>0.14400000000000002</v>
      </c>
      <c r="J102"/>
      <c r="K102" s="256"/>
      <c r="L102" s="7"/>
      <c r="M102" s="7"/>
      <c r="N102" s="265">
        <f>V74</f>
        <v>1.4999999999999999E-2</v>
      </c>
      <c r="O102" s="392">
        <f>V78</f>
        <v>0.01</v>
      </c>
      <c r="P102" s="265">
        <f>V82</f>
        <v>1.2E-2</v>
      </c>
      <c r="Q102" s="266">
        <f>V86</f>
        <v>1.2E-2</v>
      </c>
      <c r="R102"/>
      <c r="S102"/>
      <c r="T102" s="6"/>
      <c r="V102"/>
      <c r="W102"/>
    </row>
    <row r="103" spans="2:23" s="10" customFormat="1">
      <c r="B103"/>
      <c r="C103"/>
      <c r="D103" s="2"/>
      <c r="E103"/>
      <c r="F103" s="163">
        <f>SUM(F101:F102)</f>
        <v>0.42</v>
      </c>
      <c r="G103" s="393"/>
      <c r="H103" s="163"/>
      <c r="I103" s="163"/>
      <c r="J103"/>
      <c r="K103" s="117"/>
      <c r="L103" s="3"/>
      <c r="M103" s="3"/>
      <c r="N103" s="3"/>
      <c r="O103" s="3"/>
      <c r="P103" s="3"/>
      <c r="Q103" s="118"/>
      <c r="R103"/>
      <c r="S103"/>
      <c r="T103" s="6"/>
      <c r="V103"/>
      <c r="W103"/>
    </row>
    <row r="105" spans="2:23">
      <c r="K105" t="s">
        <v>220</v>
      </c>
      <c r="M105" s="2" t="s">
        <v>177</v>
      </c>
      <c r="N105" t="s">
        <v>281</v>
      </c>
    </row>
    <row r="106" spans="2:23">
      <c r="D106" s="159">
        <v>10000000</v>
      </c>
      <c r="E106" s="312" t="s">
        <v>304</v>
      </c>
      <c r="F106" s="312"/>
      <c r="G106" s="321">
        <v>0.66</v>
      </c>
      <c r="H106" s="327">
        <f>H101+H102</f>
        <v>0.26400000000000001</v>
      </c>
      <c r="I106" s="312" t="s">
        <v>223</v>
      </c>
      <c r="J106" s="312" t="s">
        <v>224</v>
      </c>
      <c r="K106" s="323">
        <f>D106*G106</f>
        <v>6600000</v>
      </c>
      <c r="L106" s="317" t="s">
        <v>305</v>
      </c>
      <c r="T106"/>
      <c r="U106" s="6"/>
      <c r="V106" s="10"/>
    </row>
    <row r="107" spans="2:23">
      <c r="D107" s="159">
        <v>12500000</v>
      </c>
      <c r="E107" t="s">
        <v>306</v>
      </c>
      <c r="G107" s="23">
        <v>0.48</v>
      </c>
      <c r="H107" s="327">
        <f>I101+G102</f>
        <v>0.24</v>
      </c>
      <c r="I107" t="s">
        <v>307</v>
      </c>
      <c r="J107" t="s">
        <v>308</v>
      </c>
      <c r="K107" s="323">
        <f t="shared" ref="K107:K109" si="10">D107*G107</f>
        <v>6000000</v>
      </c>
      <c r="L107" s="317"/>
      <c r="M107" s="368" t="s">
        <v>178</v>
      </c>
      <c r="N107" s="369" t="s">
        <v>290</v>
      </c>
      <c r="T107"/>
      <c r="U107" s="6"/>
      <c r="V107" s="10"/>
    </row>
    <row r="108" spans="2:23">
      <c r="D108" s="159">
        <v>20000000</v>
      </c>
      <c r="E108" t="s">
        <v>309</v>
      </c>
      <c r="G108" s="23">
        <f>14%+15%</f>
        <v>0.29000000000000004</v>
      </c>
      <c r="H108" s="327">
        <f>G101+H102</f>
        <v>0.28685714285714292</v>
      </c>
      <c r="I108" t="s">
        <v>310</v>
      </c>
      <c r="J108" t="s">
        <v>311</v>
      </c>
      <c r="K108" s="323">
        <f t="shared" si="10"/>
        <v>5800000.0000000009</v>
      </c>
      <c r="L108" s="317"/>
      <c r="T108"/>
      <c r="U108" s="6"/>
      <c r="V108" s="10"/>
    </row>
    <row r="109" spans="2:23">
      <c r="D109" s="159">
        <v>25000000</v>
      </c>
      <c r="E109" t="s">
        <v>312</v>
      </c>
      <c r="G109" s="23">
        <f>14%+14%</f>
        <v>0.28000000000000003</v>
      </c>
      <c r="H109" s="327">
        <f>G101+I102</f>
        <v>0.28685714285714292</v>
      </c>
      <c r="I109" t="s">
        <v>227</v>
      </c>
      <c r="J109" t="s">
        <v>228</v>
      </c>
      <c r="K109" s="323">
        <f t="shared" si="10"/>
        <v>7000000.0000000009</v>
      </c>
      <c r="L109" s="348" t="s">
        <v>313</v>
      </c>
      <c r="M109" s="2" t="s">
        <v>179</v>
      </c>
      <c r="N109" t="s">
        <v>291</v>
      </c>
      <c r="O109" s="317"/>
      <c r="P109" s="317"/>
      <c r="Q109" s="317"/>
      <c r="R109" s="317"/>
      <c r="S109" s="317"/>
      <c r="T109" s="317"/>
      <c r="U109" s="6"/>
      <c r="V109" s="10"/>
    </row>
    <row r="110" spans="2:23">
      <c r="D110" s="159">
        <v>35000000</v>
      </c>
      <c r="E110" t="s">
        <v>314</v>
      </c>
      <c r="G110" s="23">
        <f>14%+12%</f>
        <v>0.26</v>
      </c>
      <c r="H110" s="327">
        <f>G101+G102</f>
        <v>0.2628571428571429</v>
      </c>
      <c r="I110" t="s">
        <v>231</v>
      </c>
      <c r="J110" t="s">
        <v>232</v>
      </c>
      <c r="K110" s="323">
        <f>G110*D110</f>
        <v>9100000</v>
      </c>
      <c r="L110" s="327">
        <f>G110*2</f>
        <v>0.52</v>
      </c>
      <c r="M110" s="394">
        <f>L110*D110</f>
        <v>18200000</v>
      </c>
      <c r="N110" s="317"/>
      <c r="O110" s="317"/>
      <c r="P110" s="317"/>
      <c r="Q110" s="317"/>
      <c r="R110" s="317"/>
      <c r="S110" s="317"/>
      <c r="T110" s="317"/>
      <c r="U110" s="6"/>
      <c r="V110" s="10"/>
    </row>
    <row r="111" spans="2:23">
      <c r="D111" s="159">
        <v>40000000</v>
      </c>
      <c r="E111" t="s">
        <v>315</v>
      </c>
      <c r="G111" s="23">
        <f t="shared" ref="G111:G115" si="11">14%+12%</f>
        <v>0.26</v>
      </c>
      <c r="H111" s="327">
        <f>G101+G102</f>
        <v>0.2628571428571429</v>
      </c>
      <c r="I111" t="s">
        <v>231</v>
      </c>
      <c r="J111" t="s">
        <v>232</v>
      </c>
      <c r="K111" s="323">
        <f t="shared" ref="K111:K115" si="12">G111*D111</f>
        <v>10400000</v>
      </c>
      <c r="L111" s="327">
        <f t="shared" ref="L111:L115" si="13">G111*2</f>
        <v>0.52</v>
      </c>
      <c r="M111" s="2" t="s">
        <v>180</v>
      </c>
      <c r="N111" t="s">
        <v>316</v>
      </c>
      <c r="O111" s="317"/>
      <c r="P111" s="317"/>
      <c r="Q111" s="317"/>
      <c r="R111" s="317"/>
      <c r="S111" s="317"/>
      <c r="T111" s="317"/>
      <c r="U111" s="6"/>
      <c r="V111" s="10"/>
    </row>
    <row r="112" spans="2:23">
      <c r="D112" s="159">
        <v>50000000</v>
      </c>
      <c r="E112" t="s">
        <v>317</v>
      </c>
      <c r="G112" s="23">
        <f t="shared" si="11"/>
        <v>0.26</v>
      </c>
      <c r="H112" s="327">
        <f>G101+G102</f>
        <v>0.2628571428571429</v>
      </c>
      <c r="I112" t="s">
        <v>231</v>
      </c>
      <c r="J112" t="s">
        <v>232</v>
      </c>
      <c r="K112" s="323">
        <f t="shared" si="12"/>
        <v>13000000</v>
      </c>
      <c r="L112" s="327">
        <f t="shared" si="13"/>
        <v>0.52</v>
      </c>
      <c r="M112" s="394">
        <f t="shared" ref="M112:M115" si="14">L112*D112</f>
        <v>26000000</v>
      </c>
      <c r="N112" s="317"/>
      <c r="O112" s="317"/>
      <c r="P112" s="317"/>
      <c r="Q112" s="317"/>
      <c r="R112" s="317"/>
      <c r="S112" s="317"/>
      <c r="T112" s="317"/>
      <c r="U112" s="6"/>
      <c r="V112" s="10"/>
    </row>
    <row r="113" spans="4:22">
      <c r="D113" s="159">
        <v>75000000</v>
      </c>
      <c r="E113" t="s">
        <v>318</v>
      </c>
      <c r="G113" s="23">
        <f t="shared" si="11"/>
        <v>0.26</v>
      </c>
      <c r="H113" s="327">
        <f>G101+G102</f>
        <v>0.2628571428571429</v>
      </c>
      <c r="I113" t="s">
        <v>231</v>
      </c>
      <c r="J113" t="s">
        <v>232</v>
      </c>
      <c r="K113" s="323">
        <f t="shared" si="12"/>
        <v>19500000</v>
      </c>
      <c r="L113" s="327">
        <f t="shared" si="13"/>
        <v>0.52</v>
      </c>
      <c r="M113" s="394">
        <f t="shared" si="14"/>
        <v>39000000</v>
      </c>
      <c r="N113" s="317"/>
      <c r="O113" s="317"/>
      <c r="P113" s="317"/>
      <c r="Q113" s="317"/>
      <c r="R113" s="317"/>
      <c r="S113" s="317"/>
      <c r="T113" s="317"/>
      <c r="U113" s="6"/>
      <c r="V113" s="10"/>
    </row>
    <row r="114" spans="4:22">
      <c r="D114" s="159">
        <v>100000000</v>
      </c>
      <c r="E114" t="s">
        <v>319</v>
      </c>
      <c r="G114" s="23">
        <f t="shared" si="11"/>
        <v>0.26</v>
      </c>
      <c r="H114" s="327">
        <f>G101+G102</f>
        <v>0.2628571428571429</v>
      </c>
      <c r="I114" t="s">
        <v>231</v>
      </c>
      <c r="J114" t="s">
        <v>232</v>
      </c>
      <c r="K114" s="323">
        <f t="shared" si="12"/>
        <v>26000000</v>
      </c>
      <c r="L114" s="327">
        <f t="shared" si="13"/>
        <v>0.52</v>
      </c>
      <c r="M114" s="394">
        <f t="shared" si="14"/>
        <v>52000000</v>
      </c>
      <c r="N114" s="317"/>
      <c r="O114" s="348" t="s">
        <v>259</v>
      </c>
      <c r="P114" s="348" t="s">
        <v>261</v>
      </c>
      <c r="Q114" s="348" t="s">
        <v>260</v>
      </c>
      <c r="R114" s="317"/>
      <c r="S114" s="317"/>
      <c r="T114" s="317"/>
      <c r="U114" s="6"/>
      <c r="V114" s="10"/>
    </row>
    <row r="115" spans="4:22">
      <c r="D115" s="159">
        <v>125000000</v>
      </c>
      <c r="E115" t="s">
        <v>320</v>
      </c>
      <c r="G115" s="23">
        <f t="shared" si="11"/>
        <v>0.26</v>
      </c>
      <c r="H115" s="327">
        <f>G101+G102</f>
        <v>0.2628571428571429</v>
      </c>
      <c r="I115" t="s">
        <v>231</v>
      </c>
      <c r="J115" t="s">
        <v>232</v>
      </c>
      <c r="K115" s="323">
        <f t="shared" si="12"/>
        <v>32500000</v>
      </c>
      <c r="L115" s="327">
        <f t="shared" si="13"/>
        <v>0.52</v>
      </c>
      <c r="M115" s="394">
        <f t="shared" si="14"/>
        <v>65000000</v>
      </c>
      <c r="N115" s="317"/>
      <c r="O115" s="395">
        <f>(100%-P115)*0.8</f>
        <v>0.43200000000000005</v>
      </c>
      <c r="P115" s="383">
        <v>0.46</v>
      </c>
      <c r="Q115" s="395">
        <f>(100%-P115)*0.2</f>
        <v>0.10800000000000001</v>
      </c>
      <c r="R115" s="317"/>
      <c r="S115" s="317"/>
      <c r="T115" s="317"/>
      <c r="U115" s="6"/>
      <c r="V115" s="10"/>
    </row>
    <row r="116" spans="4:22">
      <c r="H116" s="23"/>
      <c r="L116" s="312"/>
      <c r="M116" s="312"/>
      <c r="N116" s="312"/>
      <c r="O116" s="312"/>
      <c r="P116" s="312"/>
      <c r="T116"/>
      <c r="U116" s="6"/>
      <c r="V116" s="10"/>
    </row>
    <row r="117" spans="4:22">
      <c r="E117" s="6" t="s">
        <v>321</v>
      </c>
      <c r="H117" s="249">
        <f>F101+F102</f>
        <v>0.42</v>
      </c>
      <c r="I117" t="s">
        <v>253</v>
      </c>
      <c r="J117" t="s">
        <v>254</v>
      </c>
      <c r="L117" s="312"/>
      <c r="M117" s="312"/>
      <c r="N117" s="312"/>
      <c r="O117" s="312"/>
      <c r="P117" s="312"/>
      <c r="T117"/>
      <c r="U117" s="6"/>
      <c r="V117" s="10"/>
    </row>
    <row r="118" spans="4:22">
      <c r="L118" s="312"/>
      <c r="M118" s="312"/>
      <c r="N118" s="312"/>
      <c r="O118" s="312"/>
      <c r="P118" s="312"/>
    </row>
    <row r="119" spans="4:22">
      <c r="E119" s="396" t="s">
        <v>259</v>
      </c>
      <c r="F119" s="396" t="s">
        <v>261</v>
      </c>
      <c r="G119" s="6" t="s">
        <v>260</v>
      </c>
    </row>
    <row r="120" spans="4:22">
      <c r="D120" s="24" t="s">
        <v>322</v>
      </c>
      <c r="E120" s="397">
        <f>(100%-F120)*0.8</f>
        <v>0.59199999999999997</v>
      </c>
      <c r="F120" s="398">
        <f>G115</f>
        <v>0.26</v>
      </c>
      <c r="G120" s="399">
        <f>(100%-F120)*0.2</f>
        <v>0.14799999999999999</v>
      </c>
    </row>
    <row r="121" spans="4:22">
      <c r="F121" s="135" t="s">
        <v>323</v>
      </c>
    </row>
    <row r="122" spans="4:22">
      <c r="F122" s="135"/>
    </row>
    <row r="123" spans="4:22">
      <c r="D123" s="24" t="s">
        <v>250</v>
      </c>
      <c r="E123" s="397">
        <f>(100%-F123)*0.8</f>
        <v>0.57599999999999996</v>
      </c>
      <c r="F123" s="272">
        <v>0.28000000000000003</v>
      </c>
      <c r="G123" s="399">
        <f>(100%-F123)*0.2</f>
        <v>0.14399999999999999</v>
      </c>
    </row>
    <row r="124" spans="4:22">
      <c r="D124" s="24"/>
      <c r="F124" s="135" t="s">
        <v>324</v>
      </c>
    </row>
    <row r="125" spans="4:22">
      <c r="D125" s="24"/>
      <c r="F125" s="135"/>
    </row>
    <row r="126" spans="4:22">
      <c r="D126" s="24" t="s">
        <v>257</v>
      </c>
      <c r="E126" s="397">
        <f>(100%-F126)*0.8</f>
        <v>0.41600000000000004</v>
      </c>
      <c r="F126" s="272">
        <v>0.48</v>
      </c>
      <c r="G126" s="399">
        <f>(100%-F126)*0.2</f>
        <v>0.10400000000000001</v>
      </c>
    </row>
    <row r="127" spans="4:22">
      <c r="D127" s="24"/>
      <c r="F127" s="135" t="s">
        <v>325</v>
      </c>
    </row>
    <row r="128" spans="4:22">
      <c r="D128" s="24"/>
      <c r="F128" s="135"/>
    </row>
    <row r="129" spans="4:7">
      <c r="D129" s="24" t="s">
        <v>326</v>
      </c>
      <c r="E129" s="397">
        <f>(100%-F129)*0.8</f>
        <v>0.27199999999999996</v>
      </c>
      <c r="F129" s="272">
        <v>0.66</v>
      </c>
      <c r="G129" s="399">
        <f>(100%-F129)*0.2</f>
        <v>6.7999999999999991E-2</v>
      </c>
    </row>
    <row r="130" spans="4:7">
      <c r="D130" s="24"/>
      <c r="F130" s="135" t="s">
        <v>327</v>
      </c>
    </row>
    <row r="131" spans="4:7">
      <c r="D131" s="24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103"/>
  <sheetViews>
    <sheetView showGridLines="0" tabSelected="1" workbookViewId="0">
      <selection activeCell="I15" sqref="I15"/>
    </sheetView>
  </sheetViews>
  <sheetFormatPr baseColWidth="10" defaultRowHeight="18" x14ac:dyDescent="0"/>
  <cols>
    <col min="1" max="1" width="10.83203125" style="177"/>
    <col min="2" max="2" width="21.83203125" style="177" customWidth="1"/>
    <col min="3" max="3" width="19" style="177" customWidth="1"/>
    <col min="4" max="4" width="17.33203125" style="177" customWidth="1"/>
    <col min="5" max="5" width="8.83203125" style="177" customWidth="1"/>
    <col min="6" max="6" width="8.5" style="177" customWidth="1"/>
    <col min="7" max="7" width="18.1640625" style="177" customWidth="1"/>
    <col min="8" max="8" width="15.6640625" style="177" customWidth="1"/>
    <col min="9" max="9" width="14.5" style="177" customWidth="1"/>
    <col min="10" max="10" width="5" style="177" customWidth="1"/>
    <col min="11" max="11" width="13.33203125" style="177" bestFit="1" customWidth="1"/>
    <col min="12" max="12" width="16.33203125" style="177" customWidth="1"/>
    <col min="13" max="13" width="18" style="177" customWidth="1"/>
    <col min="14" max="14" width="12.33203125" style="177" customWidth="1"/>
    <col min="15" max="15" width="13.1640625" style="177" customWidth="1"/>
    <col min="16" max="16" width="13" style="336" customWidth="1"/>
    <col min="17" max="17" width="19.6640625" style="177" customWidth="1"/>
    <col min="18" max="18" width="12.33203125" style="177" customWidth="1"/>
    <col min="19" max="19" width="11.83203125" style="177" customWidth="1"/>
    <col min="20" max="22" width="10.83203125" style="177"/>
    <col min="23" max="23" width="18.33203125" style="177" bestFit="1" customWidth="1"/>
    <col min="24" max="24" width="11.6640625" style="177" customWidth="1"/>
    <col min="25" max="16384" width="10.83203125" style="177"/>
  </cols>
  <sheetData>
    <row r="1" spans="1:17" ht="23">
      <c r="A1" s="144"/>
      <c r="B1" s="144"/>
      <c r="G1" s="179"/>
      <c r="H1" s="15" t="s">
        <v>375</v>
      </c>
    </row>
    <row r="2" spans="1:17" ht="23">
      <c r="A2" s="144"/>
      <c r="B2" s="144"/>
      <c r="G2" s="179" t="s">
        <v>192</v>
      </c>
      <c r="H2" s="179"/>
    </row>
    <row r="3" spans="1:17" ht="23">
      <c r="A3" s="144" t="s">
        <v>112</v>
      </c>
      <c r="B3" s="144"/>
      <c r="G3" s="179"/>
      <c r="H3" s="179"/>
      <c r="Q3" s="521" t="s">
        <v>120</v>
      </c>
    </row>
    <row r="4" spans="1:17" ht="19" thickBot="1">
      <c r="B4" s="522"/>
      <c r="C4" s="523" t="s">
        <v>193</v>
      </c>
      <c r="D4" s="524"/>
      <c r="E4" s="524"/>
      <c r="F4" s="524"/>
      <c r="G4" s="524"/>
      <c r="H4" s="524"/>
      <c r="I4" s="525"/>
      <c r="K4" s="177" t="s">
        <v>113</v>
      </c>
    </row>
    <row r="5" spans="1:17">
      <c r="B5" s="526" t="s">
        <v>24</v>
      </c>
      <c r="C5" s="527"/>
      <c r="D5" s="528"/>
      <c r="E5" s="528"/>
      <c r="F5" s="527"/>
      <c r="G5" s="528"/>
      <c r="H5" s="529" t="s">
        <v>26</v>
      </c>
      <c r="I5" s="530"/>
      <c r="K5" s="531" t="s">
        <v>368</v>
      </c>
    </row>
    <row r="6" spans="1:17">
      <c r="B6" s="532"/>
      <c r="C6" s="431" t="s">
        <v>25</v>
      </c>
      <c r="D6" s="431"/>
      <c r="E6" s="431" t="s">
        <v>27</v>
      </c>
      <c r="F6" s="431"/>
      <c r="G6" s="431" t="s">
        <v>5</v>
      </c>
      <c r="H6" s="533" t="s">
        <v>158</v>
      </c>
      <c r="I6" s="534" t="s">
        <v>157</v>
      </c>
      <c r="K6" s="531" t="s">
        <v>369</v>
      </c>
    </row>
    <row r="7" spans="1:17">
      <c r="B7" s="535" t="s">
        <v>140</v>
      </c>
      <c r="C7" s="536">
        <v>10000000</v>
      </c>
      <c r="D7" s="537"/>
      <c r="E7" s="538">
        <v>5</v>
      </c>
      <c r="F7" s="539"/>
      <c r="G7" s="540">
        <f>E7*C7</f>
        <v>50000000</v>
      </c>
      <c r="H7" s="541">
        <f>1000000000*0.025* 7</f>
        <v>175000000</v>
      </c>
      <c r="I7" s="542" t="s">
        <v>159</v>
      </c>
    </row>
    <row r="8" spans="1:17" ht="19" thickBot="1">
      <c r="B8" s="543"/>
      <c r="C8" s="544"/>
      <c r="D8" s="544"/>
      <c r="E8" s="544"/>
      <c r="F8" s="544"/>
      <c r="G8" s="544"/>
      <c r="H8" s="545"/>
      <c r="I8" s="546"/>
      <c r="L8" s="537"/>
      <c r="M8" s="547" t="s">
        <v>29</v>
      </c>
      <c r="N8" s="548"/>
      <c r="O8" s="549"/>
    </row>
    <row r="9" spans="1:17" ht="33" customHeight="1" thickBot="1">
      <c r="B9" s="544"/>
      <c r="C9" s="544"/>
      <c r="D9" s="544"/>
      <c r="E9" s="544"/>
      <c r="F9" s="544"/>
      <c r="G9" s="544"/>
      <c r="H9" s="544"/>
      <c r="I9" s="544"/>
      <c r="J9" s="544"/>
      <c r="K9" s="544"/>
      <c r="L9" s="544"/>
      <c r="M9" s="544"/>
      <c r="N9" s="544"/>
      <c r="O9" s="544"/>
      <c r="P9" s="550"/>
    </row>
    <row r="10" spans="1:17" ht="17" customHeight="1">
      <c r="B10" s="551"/>
      <c r="C10" s="527"/>
      <c r="D10" s="527"/>
      <c r="E10" s="527"/>
      <c r="F10" s="527"/>
      <c r="G10" s="527"/>
      <c r="H10" s="527"/>
      <c r="I10" s="527"/>
      <c r="J10" s="527"/>
      <c r="K10" s="552"/>
      <c r="P10" s="553"/>
    </row>
    <row r="11" spans="1:17" ht="20" customHeight="1">
      <c r="B11" s="532"/>
      <c r="D11" s="539"/>
      <c r="E11" s="554"/>
      <c r="F11" s="555"/>
      <c r="G11" s="555"/>
      <c r="H11" s="555"/>
      <c r="I11" s="555"/>
      <c r="J11" s="556"/>
      <c r="K11" s="557"/>
      <c r="P11" s="553"/>
    </row>
    <row r="12" spans="1:17" ht="20" customHeight="1">
      <c r="B12" s="532"/>
      <c r="C12" s="558" t="s">
        <v>141</v>
      </c>
      <c r="D12" s="539"/>
      <c r="E12" s="559"/>
      <c r="F12" s="539"/>
      <c r="G12" s="19" t="s">
        <v>126</v>
      </c>
      <c r="H12" s="539"/>
      <c r="I12" s="560">
        <v>1.5</v>
      </c>
      <c r="J12" s="561"/>
      <c r="K12" s="557"/>
      <c r="P12" s="553"/>
    </row>
    <row r="13" spans="1:17" ht="20" customHeight="1">
      <c r="B13" s="532"/>
      <c r="C13" s="562" t="s">
        <v>142</v>
      </c>
      <c r="D13" s="539"/>
      <c r="E13" s="559"/>
      <c r="F13" s="539"/>
      <c r="G13" s="133" t="s">
        <v>115</v>
      </c>
      <c r="H13" s="563"/>
      <c r="I13" s="564">
        <v>0.2</v>
      </c>
      <c r="J13" s="561"/>
      <c r="K13" s="557"/>
      <c r="P13" s="553"/>
    </row>
    <row r="14" spans="1:17">
      <c r="B14" s="565" t="s">
        <v>97</v>
      </c>
      <c r="C14" s="566">
        <v>8.5000000000000006E-2</v>
      </c>
      <c r="D14" s="567"/>
      <c r="E14" s="559"/>
      <c r="F14" s="539"/>
      <c r="G14" s="133" t="s">
        <v>364</v>
      </c>
      <c r="H14" s="273" t="s">
        <v>184</v>
      </c>
      <c r="I14" s="568">
        <v>150000</v>
      </c>
      <c r="J14" s="11"/>
      <c r="K14" s="557"/>
      <c r="M14" s="520" t="s">
        <v>30</v>
      </c>
      <c r="N14" s="520"/>
      <c r="P14" s="553"/>
    </row>
    <row r="15" spans="1:17">
      <c r="B15" s="569"/>
      <c r="D15" s="567"/>
      <c r="E15" s="570"/>
      <c r="F15" s="539"/>
      <c r="G15" s="134" t="s">
        <v>365</v>
      </c>
      <c r="H15" s="273" t="s">
        <v>186</v>
      </c>
      <c r="I15" s="571">
        <f>G7</f>
        <v>50000000</v>
      </c>
      <c r="J15" s="561"/>
      <c r="K15" s="557"/>
      <c r="P15" s="553"/>
    </row>
    <row r="16" spans="1:17">
      <c r="B16" s="565" t="s">
        <v>104</v>
      </c>
      <c r="C16" s="566">
        <v>0</v>
      </c>
      <c r="D16" s="567"/>
      <c r="E16" s="570"/>
      <c r="F16" s="539"/>
      <c r="G16" s="133" t="s">
        <v>28</v>
      </c>
      <c r="H16" s="133"/>
      <c r="I16" s="147">
        <f>G7</f>
        <v>50000000</v>
      </c>
      <c r="J16" s="561"/>
      <c r="K16" s="557"/>
      <c r="P16" s="553"/>
    </row>
    <row r="17" spans="2:16" ht="9" customHeight="1">
      <c r="B17" s="532"/>
      <c r="C17" s="539"/>
      <c r="D17" s="539"/>
      <c r="E17" s="572"/>
      <c r="F17" s="573"/>
      <c r="G17" s="573"/>
      <c r="H17" s="573"/>
      <c r="I17" s="573"/>
      <c r="J17" s="574"/>
      <c r="K17" s="557"/>
      <c r="P17" s="553"/>
    </row>
    <row r="18" spans="2:16" ht="19" thickBot="1">
      <c r="B18" s="543"/>
      <c r="C18" s="544"/>
      <c r="D18" s="544"/>
      <c r="E18" s="544"/>
      <c r="F18" s="544"/>
      <c r="G18" s="544"/>
      <c r="H18" s="544"/>
      <c r="I18" s="575"/>
      <c r="J18" s="544"/>
      <c r="K18" s="576"/>
      <c r="P18" s="553"/>
    </row>
    <row r="19" spans="2:16">
      <c r="B19" s="577"/>
      <c r="C19" s="578"/>
      <c r="D19" s="578"/>
      <c r="E19" s="578"/>
      <c r="F19" s="578"/>
      <c r="G19" s="578"/>
      <c r="H19" s="578"/>
      <c r="I19" s="579"/>
      <c r="J19" s="578"/>
      <c r="K19" s="578"/>
      <c r="L19" s="580"/>
      <c r="M19" s="580"/>
      <c r="N19" s="580"/>
      <c r="O19" s="581"/>
      <c r="P19" s="16"/>
    </row>
    <row r="20" spans="2:16">
      <c r="B20" s="582" t="s">
        <v>22</v>
      </c>
      <c r="C20" s="578"/>
      <c r="D20" s="578"/>
      <c r="E20" s="578"/>
      <c r="F20" s="578"/>
      <c r="G20" s="583"/>
      <c r="H20" s="583"/>
      <c r="I20" s="584"/>
      <c r="J20" s="578"/>
      <c r="K20" s="578"/>
      <c r="L20" s="578"/>
      <c r="M20" s="578"/>
      <c r="N20" s="578"/>
      <c r="O20" s="578"/>
      <c r="P20" s="16"/>
    </row>
    <row r="21" spans="2:16">
      <c r="B21" s="585" t="s">
        <v>113</v>
      </c>
      <c r="C21" s="578"/>
      <c r="D21" s="578"/>
      <c r="E21" s="578"/>
      <c r="F21" s="578"/>
      <c r="G21" s="145" t="s">
        <v>18</v>
      </c>
      <c r="H21" s="145"/>
      <c r="I21" s="586" t="s">
        <v>2</v>
      </c>
      <c r="J21" s="578"/>
      <c r="K21" s="145" t="s">
        <v>185</v>
      </c>
      <c r="L21" s="578"/>
      <c r="M21" s="587">
        <f>I15/D26</f>
        <v>2</v>
      </c>
      <c r="N21" s="578" t="s">
        <v>7</v>
      </c>
      <c r="O21" s="578"/>
      <c r="P21" s="16"/>
    </row>
    <row r="22" spans="2:16">
      <c r="B22" s="577"/>
      <c r="C22" s="588" t="s">
        <v>15</v>
      </c>
      <c r="D22" s="589">
        <f>IF(I15&gt;D26,I15/D26,0)</f>
        <v>2</v>
      </c>
      <c r="E22" s="578"/>
      <c r="F22" s="578"/>
      <c r="G22" s="590">
        <f>IF(I15&gt;D26,I14)</f>
        <v>150000</v>
      </c>
      <c r="H22" s="591" t="s">
        <v>7</v>
      </c>
      <c r="I22" s="592">
        <f>IF(I15&gt;D26,D22)</f>
        <v>2</v>
      </c>
      <c r="J22" s="586" t="s">
        <v>4</v>
      </c>
      <c r="K22" s="593">
        <f>I14*I22</f>
        <v>300000</v>
      </c>
      <c r="L22" s="586" t="s">
        <v>4</v>
      </c>
      <c r="M22" s="594">
        <f>I14</f>
        <v>150000</v>
      </c>
      <c r="N22" s="595" t="str">
        <f>"  /  " &amp; I15</f>
        <v xml:space="preserve">  /  50000000</v>
      </c>
      <c r="O22" s="578"/>
      <c r="P22" s="16"/>
    </row>
    <row r="23" spans="2:16">
      <c r="B23" s="577"/>
      <c r="C23" s="578" t="s">
        <v>14</v>
      </c>
      <c r="D23" s="595">
        <f>IF(I15&gt;D26,I15-D26,0)</f>
        <v>25000000</v>
      </c>
      <c r="E23" s="578"/>
      <c r="F23" s="578"/>
      <c r="G23" s="578"/>
      <c r="H23" s="578"/>
      <c r="I23" s="578"/>
      <c r="J23" s="578"/>
      <c r="K23" s="578"/>
      <c r="L23" s="578"/>
      <c r="M23" s="578"/>
      <c r="N23" s="578"/>
      <c r="O23" s="578"/>
      <c r="P23" s="16"/>
    </row>
    <row r="24" spans="2:16">
      <c r="B24" s="577"/>
      <c r="C24" s="578"/>
      <c r="D24" s="595"/>
      <c r="E24" s="578"/>
      <c r="F24" s="578"/>
      <c r="G24" s="578"/>
      <c r="H24" s="578"/>
      <c r="I24" s="578"/>
      <c r="J24" s="578"/>
      <c r="K24" s="578"/>
      <c r="L24" s="578"/>
      <c r="M24" s="145" t="s">
        <v>366</v>
      </c>
      <c r="N24" s="578"/>
      <c r="O24" s="578"/>
      <c r="P24" s="16"/>
    </row>
    <row r="25" spans="2:16">
      <c r="B25" s="577"/>
      <c r="C25" s="578"/>
      <c r="D25" s="578"/>
      <c r="E25" s="596"/>
      <c r="F25" s="596"/>
      <c r="G25" s="596"/>
      <c r="H25" s="596"/>
      <c r="I25" s="596"/>
      <c r="J25" s="596"/>
      <c r="K25" s="596"/>
      <c r="L25" s="596"/>
      <c r="M25" s="9">
        <f>IF(I15&gt;D26, K22/I15,0)</f>
        <v>6.0000000000000001E-3</v>
      </c>
      <c r="N25" s="596"/>
      <c r="O25" s="597"/>
      <c r="P25" s="16"/>
    </row>
    <row r="26" spans="2:16" ht="19" thickBot="1">
      <c r="B26" s="598"/>
      <c r="C26" s="599" t="s">
        <v>370</v>
      </c>
      <c r="D26" s="600">
        <v>25000000</v>
      </c>
      <c r="E26" s="577"/>
      <c r="F26" s="596"/>
      <c r="G26" s="596"/>
      <c r="H26" s="596"/>
      <c r="I26" s="596"/>
      <c r="J26" s="596"/>
      <c r="K26" s="596"/>
      <c r="L26" s="596"/>
      <c r="M26" s="596"/>
      <c r="N26" s="596"/>
      <c r="O26" s="597"/>
      <c r="P26" s="16"/>
    </row>
    <row r="27" spans="2:16">
      <c r="B27" s="532"/>
      <c r="C27" s="527">
        <f>D26/D35</f>
        <v>2.5</v>
      </c>
      <c r="D27" s="528"/>
      <c r="E27" s="601"/>
      <c r="F27" s="602"/>
      <c r="G27" s="603"/>
      <c r="H27" s="603"/>
      <c r="I27" s="603"/>
      <c r="J27" s="603"/>
      <c r="K27" s="603"/>
      <c r="L27" s="603"/>
      <c r="M27" s="603"/>
      <c r="N27" s="603"/>
      <c r="O27" s="604"/>
      <c r="P27" s="16"/>
    </row>
    <row r="28" spans="2:16" hidden="1">
      <c r="B28" s="532"/>
      <c r="D28" s="605" t="s">
        <v>1</v>
      </c>
      <c r="E28" s="606"/>
      <c r="F28" s="606"/>
      <c r="K28" s="607"/>
      <c r="L28" s="608"/>
      <c r="P28" s="16"/>
    </row>
    <row r="29" spans="2:16" hidden="1">
      <c r="B29" s="532"/>
      <c r="D29" s="605" t="s">
        <v>0</v>
      </c>
      <c r="E29" s="606"/>
      <c r="F29" s="606"/>
      <c r="G29" s="605" t="s">
        <v>197</v>
      </c>
      <c r="I29" s="605" t="s">
        <v>196</v>
      </c>
      <c r="K29" s="609" t="s">
        <v>203</v>
      </c>
      <c r="P29" s="16"/>
    </row>
    <row r="30" spans="2:16" hidden="1">
      <c r="B30" s="610" t="s">
        <v>21</v>
      </c>
      <c r="C30" s="605" t="s">
        <v>200</v>
      </c>
      <c r="D30" s="605" t="s">
        <v>1</v>
      </c>
      <c r="E30" s="605"/>
      <c r="F30" s="605"/>
      <c r="G30" s="273" t="s">
        <v>198</v>
      </c>
      <c r="H30" s="431"/>
      <c r="I30" s="611" t="s">
        <v>202</v>
      </c>
      <c r="J30" s="539"/>
      <c r="K30" s="563" t="s">
        <v>360</v>
      </c>
      <c r="L30" s="539"/>
      <c r="M30" s="11" t="s">
        <v>13</v>
      </c>
      <c r="N30" s="431"/>
      <c r="P30" s="16"/>
    </row>
    <row r="31" spans="2:16" hidden="1">
      <c r="B31" s="535" t="s">
        <v>113</v>
      </c>
      <c r="C31" s="612">
        <f>I15</f>
        <v>50000000</v>
      </c>
      <c r="D31" s="613" t="s">
        <v>111</v>
      </c>
      <c r="E31" s="613" t="s">
        <v>98</v>
      </c>
      <c r="F31" s="614"/>
      <c r="G31" s="615">
        <f>I14</f>
        <v>150000</v>
      </c>
      <c r="H31" s="616" t="s">
        <v>199</v>
      </c>
      <c r="I31" s="617">
        <f>I15*(1-I13)</f>
        <v>40000000</v>
      </c>
      <c r="J31" s="606" t="s">
        <v>201</v>
      </c>
      <c r="K31" s="618">
        <f>G31</f>
        <v>150000</v>
      </c>
      <c r="L31" s="606" t="s">
        <v>4</v>
      </c>
      <c r="M31" s="9">
        <f>IF(I15&gt;=D35,K31/I31,0)</f>
        <v>3.7499999999999999E-3</v>
      </c>
      <c r="N31" s="619">
        <f>I15*M31</f>
        <v>187500</v>
      </c>
      <c r="O31" s="620"/>
      <c r="P31" s="16"/>
    </row>
    <row r="32" spans="2:16" hidden="1">
      <c r="B32" s="532"/>
      <c r="D32" s="605" t="s">
        <v>1</v>
      </c>
      <c r="E32" s="605"/>
      <c r="F32" s="605"/>
      <c r="J32" s="539"/>
      <c r="K32" s="539"/>
      <c r="L32" s="539"/>
      <c r="M32" s="539"/>
      <c r="N32" s="440" t="s">
        <v>185</v>
      </c>
      <c r="O32" s="621"/>
      <c r="P32" s="16"/>
    </row>
    <row r="33" spans="2:17" hidden="1">
      <c r="B33" s="532"/>
      <c r="D33" s="605" t="s">
        <v>0</v>
      </c>
      <c r="E33" s="622"/>
      <c r="F33" s="622"/>
      <c r="G33" s="623"/>
      <c r="H33" s="623"/>
      <c r="I33" s="623"/>
      <c r="J33" s="623"/>
      <c r="K33" s="623"/>
      <c r="L33" s="623"/>
      <c r="M33" s="623"/>
      <c r="N33" s="623"/>
      <c r="O33" s="624"/>
      <c r="P33" s="16"/>
    </row>
    <row r="34" spans="2:17" ht="19" hidden="1" thickBot="1">
      <c r="B34" s="543"/>
      <c r="C34" s="544">
        <f>D35/D35</f>
        <v>1</v>
      </c>
      <c r="D34" s="625" t="s">
        <v>1</v>
      </c>
      <c r="E34" s="626"/>
      <c r="F34" s="627"/>
      <c r="G34" s="596"/>
      <c r="H34" s="596"/>
      <c r="I34" s="596"/>
      <c r="J34" s="596"/>
      <c r="K34" s="596"/>
      <c r="L34" s="596"/>
      <c r="M34" s="596"/>
      <c r="N34" s="596"/>
      <c r="O34" s="597"/>
      <c r="P34" s="16"/>
    </row>
    <row r="35" spans="2:17" hidden="1">
      <c r="B35" s="577"/>
      <c r="C35" s="599" t="s">
        <v>371</v>
      </c>
      <c r="D35" s="628">
        <v>10000000</v>
      </c>
      <c r="E35" s="577"/>
      <c r="F35" s="596"/>
      <c r="G35" s="596"/>
      <c r="H35" s="596"/>
      <c r="I35" s="596"/>
      <c r="J35" s="596"/>
      <c r="K35" s="596"/>
      <c r="L35" s="596"/>
      <c r="M35" s="596"/>
      <c r="N35" s="596"/>
      <c r="O35" s="597"/>
      <c r="P35" s="16" t="s">
        <v>6</v>
      </c>
    </row>
    <row r="36" spans="2:17" hidden="1">
      <c r="B36" s="577"/>
      <c r="C36" s="578"/>
      <c r="D36" s="578"/>
      <c r="E36" s="596"/>
      <c r="F36" s="596"/>
      <c r="G36" s="596"/>
      <c r="H36" s="596"/>
      <c r="I36" s="596"/>
      <c r="J36" s="596"/>
      <c r="K36" s="596"/>
      <c r="L36" s="596"/>
      <c r="M36" s="596"/>
      <c r="N36" s="596"/>
      <c r="O36" s="578"/>
      <c r="P36" s="16" t="s">
        <v>7</v>
      </c>
    </row>
    <row r="37" spans="2:17" hidden="1">
      <c r="B37" s="582"/>
      <c r="C37" s="578"/>
      <c r="D37" s="578"/>
      <c r="E37" s="596"/>
      <c r="F37" s="596"/>
      <c r="G37" s="596"/>
      <c r="H37" s="596"/>
      <c r="I37" s="596"/>
      <c r="J37" s="596"/>
      <c r="K37" s="596"/>
      <c r="L37" s="596"/>
      <c r="M37" s="596"/>
      <c r="N37" s="596"/>
      <c r="O37" s="597"/>
      <c r="P37" s="16" t="s">
        <v>8</v>
      </c>
    </row>
    <row r="38" spans="2:17" hidden="1">
      <c r="B38" s="577"/>
      <c r="C38" s="578"/>
      <c r="D38" s="578"/>
      <c r="E38" s="596"/>
      <c r="F38" s="596"/>
      <c r="G38" s="596"/>
      <c r="H38" s="596"/>
      <c r="I38" s="596"/>
      <c r="J38" s="596"/>
      <c r="K38" s="596"/>
      <c r="L38" s="596"/>
      <c r="M38" s="596"/>
      <c r="N38" s="596"/>
      <c r="O38" s="596"/>
      <c r="P38" s="16" t="s">
        <v>9</v>
      </c>
    </row>
    <row r="39" spans="2:17" hidden="1">
      <c r="B39" s="577"/>
      <c r="C39" s="578" t="s">
        <v>12</v>
      </c>
      <c r="D39" s="595">
        <f>IF(D35-I15&gt;0,D35-I15,0)</f>
        <v>0</v>
      </c>
      <c r="E39" s="578"/>
      <c r="F39" s="578"/>
      <c r="G39" s="145" t="s">
        <v>17</v>
      </c>
      <c r="H39" s="145"/>
      <c r="I39" s="586" t="s">
        <v>2</v>
      </c>
      <c r="J39" s="578"/>
      <c r="K39" s="145" t="s">
        <v>185</v>
      </c>
      <c r="L39" s="578"/>
      <c r="M39" s="146" t="s">
        <v>19</v>
      </c>
      <c r="N39" s="578"/>
      <c r="O39" s="578"/>
      <c r="P39" s="16"/>
    </row>
    <row r="40" spans="2:17" hidden="1">
      <c r="B40" s="577"/>
      <c r="C40" s="588" t="s">
        <v>16</v>
      </c>
      <c r="D40" s="629">
        <f>D39/D35</f>
        <v>0</v>
      </c>
      <c r="E40" s="578"/>
      <c r="F40" s="578"/>
      <c r="G40" s="590" t="b">
        <f>IF(D39&gt;0,I14)</f>
        <v>0</v>
      </c>
      <c r="H40" s="591" t="s">
        <v>7</v>
      </c>
      <c r="I40" s="592" t="b">
        <f>IF(G40,1.2)</f>
        <v>0</v>
      </c>
      <c r="J40" s="586" t="s">
        <v>4</v>
      </c>
      <c r="K40" s="593" t="b">
        <f>IF(I40,I14*I40)</f>
        <v>0</v>
      </c>
      <c r="L40" s="586" t="s">
        <v>4</v>
      </c>
      <c r="M40" s="630">
        <f>K40/I15</f>
        <v>0</v>
      </c>
      <c r="N40" s="578"/>
      <c r="O40" s="578"/>
      <c r="P40" s="16" t="s">
        <v>6</v>
      </c>
    </row>
    <row r="41" spans="2:17" hidden="1">
      <c r="B41" s="577"/>
      <c r="C41" s="578"/>
      <c r="D41" s="578"/>
      <c r="E41" s="578"/>
      <c r="F41" s="578"/>
      <c r="G41" s="578"/>
      <c r="H41" s="578"/>
      <c r="I41" s="578"/>
      <c r="J41" s="578"/>
      <c r="K41" s="578"/>
      <c r="L41" s="578"/>
      <c r="M41" s="586"/>
      <c r="N41" s="578"/>
      <c r="O41" s="578"/>
      <c r="P41" s="16" t="s">
        <v>10</v>
      </c>
    </row>
    <row r="42" spans="2:17" hidden="1">
      <c r="B42" s="582" t="s">
        <v>23</v>
      </c>
      <c r="C42" s="578"/>
      <c r="D42" s="578"/>
      <c r="E42" s="578"/>
      <c r="F42" s="578"/>
      <c r="G42" s="578"/>
      <c r="H42" s="578"/>
      <c r="I42" s="578"/>
      <c r="J42" s="578"/>
      <c r="K42" s="578"/>
      <c r="L42" s="578"/>
      <c r="M42" s="586"/>
      <c r="N42" s="578"/>
      <c r="O42" s="578"/>
      <c r="P42" s="16" t="s">
        <v>6</v>
      </c>
    </row>
    <row r="43" spans="2:17" hidden="1">
      <c r="B43" s="585" t="s">
        <v>113</v>
      </c>
      <c r="C43" s="578"/>
      <c r="D43" s="578"/>
      <c r="E43" s="578"/>
      <c r="F43" s="578"/>
      <c r="G43" s="578"/>
      <c r="H43" s="578"/>
      <c r="I43" s="578"/>
      <c r="J43" s="578"/>
      <c r="K43" s="578"/>
      <c r="L43" s="578"/>
      <c r="M43" s="578"/>
      <c r="N43" s="578"/>
      <c r="O43" s="578"/>
      <c r="P43" s="16" t="s">
        <v>11</v>
      </c>
    </row>
    <row r="44" spans="2:17" hidden="1">
      <c r="B44" s="577"/>
      <c r="C44" s="578"/>
      <c r="D44" s="578"/>
      <c r="E44" s="578"/>
      <c r="F44" s="578"/>
      <c r="G44" s="578"/>
      <c r="H44" s="578"/>
      <c r="I44" s="578"/>
      <c r="J44" s="578"/>
      <c r="K44" s="578"/>
      <c r="L44" s="578"/>
      <c r="M44" s="146" t="s">
        <v>13</v>
      </c>
      <c r="N44" s="578"/>
      <c r="O44" s="578"/>
      <c r="P44" s="16" t="s">
        <v>9</v>
      </c>
      <c r="Q44" s="521" t="s">
        <v>59</v>
      </c>
    </row>
    <row r="45" spans="2:17" hidden="1">
      <c r="B45" s="577"/>
      <c r="C45" s="578"/>
      <c r="D45" s="578"/>
      <c r="E45" s="578"/>
      <c r="F45" s="578"/>
      <c r="G45" s="578"/>
      <c r="H45" s="578"/>
      <c r="I45" s="578"/>
      <c r="J45" s="578"/>
      <c r="K45" s="578"/>
      <c r="L45" s="578"/>
      <c r="M45" s="9">
        <f>IF(G40,M40,0)</f>
        <v>0</v>
      </c>
      <c r="N45" s="578"/>
      <c r="O45" s="578"/>
      <c r="P45" s="553"/>
      <c r="Q45" s="631" t="s">
        <v>58</v>
      </c>
    </row>
    <row r="46" spans="2:17" hidden="1">
      <c r="B46" s="577"/>
      <c r="C46" s="578"/>
      <c r="D46" s="578"/>
      <c r="E46" s="578"/>
      <c r="F46" s="578"/>
      <c r="G46" s="578"/>
      <c r="H46" s="578"/>
      <c r="I46" s="578"/>
      <c r="J46" s="578"/>
      <c r="K46" s="578"/>
      <c r="L46" s="578"/>
      <c r="M46" s="578"/>
      <c r="N46" s="578"/>
      <c r="O46" s="578"/>
      <c r="P46" s="553"/>
      <c r="Q46" s="632">
        <f>O50*I15</f>
        <v>300000</v>
      </c>
    </row>
    <row r="47" spans="2:17" hidden="1">
      <c r="B47" s="577"/>
      <c r="C47" s="578"/>
      <c r="D47" s="578"/>
      <c r="E47" s="578"/>
      <c r="F47" s="578"/>
      <c r="G47" s="578"/>
      <c r="H47" s="578"/>
      <c r="I47" s="578"/>
      <c r="J47" s="578"/>
      <c r="K47" s="578"/>
      <c r="L47" s="578"/>
      <c r="M47" s="578"/>
      <c r="N47" s="578"/>
      <c r="O47" s="578"/>
      <c r="P47" s="553"/>
      <c r="Q47" s="633" t="str">
        <f>(Q46/I14) &amp; "X"</f>
        <v>2X</v>
      </c>
    </row>
    <row r="48" spans="2:17" ht="19" hidden="1" thickBot="1">
      <c r="B48" s="598"/>
      <c r="C48" s="634"/>
      <c r="D48" s="634"/>
      <c r="E48" s="634"/>
      <c r="F48" s="634"/>
      <c r="G48" s="634"/>
      <c r="H48" s="634"/>
      <c r="I48" s="634"/>
      <c r="J48" s="634"/>
      <c r="K48" s="634"/>
      <c r="L48" s="634"/>
      <c r="M48" s="634"/>
      <c r="N48" s="634"/>
      <c r="O48" s="634"/>
      <c r="P48" s="553"/>
    </row>
    <row r="49" spans="2:18" hidden="1">
      <c r="B49" s="635"/>
      <c r="C49" s="636"/>
      <c r="D49" s="636"/>
      <c r="E49" s="636"/>
      <c r="F49" s="636"/>
      <c r="G49" s="636"/>
      <c r="H49" s="636"/>
      <c r="I49" s="636"/>
      <c r="J49" s="636"/>
      <c r="K49" s="636"/>
      <c r="L49" s="636"/>
      <c r="M49" s="636"/>
      <c r="N49" s="636"/>
      <c r="O49" s="636"/>
      <c r="P49" s="637"/>
      <c r="Q49" s="631" t="s">
        <v>60</v>
      </c>
    </row>
    <row r="50" spans="2:18" hidden="1">
      <c r="B50" s="635"/>
      <c r="C50" s="636"/>
      <c r="D50" s="636"/>
      <c r="E50" s="636"/>
      <c r="F50" s="636"/>
      <c r="G50" s="636"/>
      <c r="H50" s="636"/>
      <c r="I50" s="636"/>
      <c r="J50" s="636"/>
      <c r="K50" s="636"/>
      <c r="L50" s="636"/>
      <c r="M50" s="636"/>
      <c r="N50" s="17" t="s">
        <v>20</v>
      </c>
      <c r="O50" s="638">
        <f>IF(M25&gt;M31,M25,IF(M45&gt;M31,M45,M31))</f>
        <v>6.0000000000000001E-3</v>
      </c>
      <c r="P50" s="637"/>
      <c r="Q50" s="632">
        <f>O50*I16</f>
        <v>300000</v>
      </c>
    </row>
    <row r="51" spans="2:18" ht="19" thickBot="1">
      <c r="B51" s="639"/>
      <c r="C51" s="640"/>
      <c r="D51" s="640"/>
      <c r="E51" s="640"/>
      <c r="F51" s="640"/>
      <c r="G51" s="640"/>
      <c r="H51" s="640"/>
      <c r="I51" s="640"/>
      <c r="J51" s="640"/>
      <c r="K51" s="640"/>
      <c r="L51" s="640"/>
      <c r="M51" s="640"/>
      <c r="N51" s="640"/>
      <c r="O51" s="640"/>
      <c r="P51" s="641"/>
    </row>
    <row r="52" spans="2:18">
      <c r="B52" s="642"/>
      <c r="C52" s="643"/>
      <c r="D52" s="643"/>
      <c r="E52" s="643"/>
      <c r="F52" s="643"/>
      <c r="G52" s="643"/>
      <c r="H52" s="643"/>
      <c r="I52" s="643"/>
      <c r="J52" s="643"/>
      <c r="K52" s="643"/>
      <c r="L52" s="643"/>
      <c r="M52" s="643"/>
      <c r="N52" s="643"/>
      <c r="O52" s="643"/>
      <c r="P52" s="644"/>
    </row>
    <row r="53" spans="2:18">
      <c r="M53" s="336"/>
      <c r="N53" s="631" t="s">
        <v>57</v>
      </c>
      <c r="O53" s="645">
        <f>O50</f>
        <v>6.0000000000000001E-3</v>
      </c>
      <c r="Q53" s="646">
        <f>Q50</f>
        <v>300000</v>
      </c>
      <c r="R53" s="18"/>
    </row>
    <row r="54" spans="2:18" ht="19" thickBot="1">
      <c r="B54" s="336"/>
      <c r="I54" s="647" t="s">
        <v>116</v>
      </c>
      <c r="Q54" s="243" t="str">
        <f>ROUND(Q53/I14,2) &amp; " X"</f>
        <v>2 X</v>
      </c>
    </row>
    <row r="55" spans="2:18" ht="38" customHeight="1" thickTop="1" thickBot="1">
      <c r="B55" s="648" t="s">
        <v>46</v>
      </c>
      <c r="C55" s="649"/>
      <c r="D55" s="650"/>
      <c r="E55" s="651"/>
      <c r="F55" s="651"/>
      <c r="G55" s="651"/>
      <c r="H55" s="651"/>
      <c r="I55" s="651"/>
      <c r="J55" s="652"/>
      <c r="K55" s="652"/>
      <c r="L55" s="652"/>
      <c r="M55" s="651"/>
      <c r="N55" s="651"/>
      <c r="O55" s="651"/>
      <c r="P55" s="651"/>
      <c r="Q55" s="651"/>
    </row>
    <row r="56" spans="2:18" ht="19" thickTop="1">
      <c r="B56" s="653"/>
      <c r="C56" s="654"/>
      <c r="D56" s="654"/>
      <c r="E56" s="654"/>
      <c r="F56" s="654"/>
      <c r="G56" s="654"/>
      <c r="H56" s="654"/>
      <c r="I56" s="654"/>
      <c r="J56" s="654"/>
      <c r="K56" s="654"/>
      <c r="L56" s="654"/>
      <c r="M56" s="654"/>
      <c r="N56" s="654"/>
      <c r="O56" s="654"/>
      <c r="P56" s="654"/>
      <c r="Q56" s="655"/>
    </row>
    <row r="57" spans="2:18">
      <c r="B57" s="656"/>
      <c r="C57" s="539"/>
      <c r="D57" s="539"/>
      <c r="E57" s="539"/>
      <c r="F57" s="539"/>
      <c r="G57" s="539"/>
      <c r="H57" s="539"/>
      <c r="I57" s="643"/>
      <c r="J57" s="643"/>
      <c r="K57" s="643"/>
      <c r="L57" s="539"/>
      <c r="M57" s="539"/>
      <c r="N57" s="539"/>
      <c r="O57" s="539"/>
      <c r="P57" s="539"/>
      <c r="Q57" s="657"/>
    </row>
    <row r="58" spans="2:18">
      <c r="B58" s="658"/>
      <c r="C58" s="431" t="s">
        <v>152</v>
      </c>
      <c r="D58" s="539"/>
      <c r="E58" s="539"/>
      <c r="F58" s="539"/>
      <c r="G58" s="539"/>
      <c r="H58" s="539"/>
      <c r="I58" s="643"/>
      <c r="J58" s="659"/>
      <c r="K58" s="659"/>
      <c r="L58" s="660"/>
      <c r="M58" s="660" t="s">
        <v>40</v>
      </c>
      <c r="N58" s="661"/>
      <c r="O58" s="539"/>
      <c r="P58" s="539"/>
      <c r="Q58" s="657"/>
    </row>
    <row r="59" spans="2:18">
      <c r="B59" s="656"/>
      <c r="C59" s="662" t="s">
        <v>143</v>
      </c>
      <c r="D59" s="539"/>
      <c r="E59" s="539"/>
      <c r="F59" s="663"/>
      <c r="G59" s="539"/>
      <c r="H59" s="539"/>
      <c r="I59" s="664"/>
      <c r="J59" s="665"/>
      <c r="K59" s="659"/>
      <c r="L59" s="666" t="s">
        <v>53</v>
      </c>
      <c r="M59" s="433">
        <f>I15</f>
        <v>50000000</v>
      </c>
      <c r="N59" s="667"/>
      <c r="O59" s="539"/>
      <c r="P59" s="539"/>
      <c r="Q59" s="657"/>
    </row>
    <row r="60" spans="2:18">
      <c r="B60" s="656"/>
      <c r="C60" s="668">
        <v>2000000</v>
      </c>
      <c r="D60" s="539"/>
      <c r="E60" s="669"/>
      <c r="F60" s="539"/>
      <c r="G60" s="606"/>
      <c r="H60" s="606"/>
      <c r="I60" s="670"/>
      <c r="J60" s="671"/>
      <c r="K60" s="659"/>
      <c r="L60" s="660" t="s">
        <v>54</v>
      </c>
      <c r="M60" s="153" t="e">
        <f>M59+C60+#REF!</f>
        <v>#REF!</v>
      </c>
      <c r="N60" s="661"/>
      <c r="O60" s="539"/>
      <c r="P60" s="539"/>
      <c r="Q60" s="657"/>
    </row>
    <row r="61" spans="2:18">
      <c r="B61" s="672"/>
      <c r="C61" s="673" t="str">
        <f>TEXT(C60/D35,"###.0%") &amp;" of "&amp;TEXT(D35,"$#,#,#.00")</f>
        <v>20.0% of $10,000,000.00</v>
      </c>
      <c r="D61" s="539"/>
      <c r="E61" s="539"/>
      <c r="F61" s="539"/>
      <c r="G61" s="539"/>
      <c r="H61" s="539"/>
      <c r="I61" s="643"/>
      <c r="J61" s="659"/>
      <c r="K61" s="659"/>
      <c r="L61" s="660" t="s">
        <v>363</v>
      </c>
      <c r="M61" s="153">
        <f>I16</f>
        <v>50000000</v>
      </c>
      <c r="N61" s="661"/>
      <c r="O61" s="539"/>
      <c r="P61" s="539"/>
      <c r="Q61" s="657"/>
    </row>
    <row r="62" spans="2:18">
      <c r="B62" s="672"/>
      <c r="C62" s="674"/>
      <c r="D62" s="539"/>
      <c r="E62" s="539"/>
      <c r="F62" s="669"/>
      <c r="G62" s="606"/>
      <c r="H62" s="606"/>
      <c r="I62" s="675"/>
      <c r="J62" s="671"/>
      <c r="K62" s="659"/>
      <c r="L62" s="676"/>
      <c r="M62" s="677"/>
      <c r="N62" s="661"/>
      <c r="O62" s="539"/>
      <c r="P62" s="539"/>
      <c r="Q62" s="657"/>
    </row>
    <row r="63" spans="2:18">
      <c r="B63" s="656"/>
      <c r="E63" s="19" t="s">
        <v>62</v>
      </c>
      <c r="F63" s="539"/>
      <c r="G63" s="539"/>
      <c r="H63" s="539"/>
      <c r="I63" s="643"/>
      <c r="J63" s="643"/>
      <c r="K63" s="643"/>
      <c r="L63" s="539"/>
      <c r="M63" s="539"/>
      <c r="N63" s="539"/>
      <c r="O63" s="539"/>
      <c r="P63" s="539"/>
      <c r="Q63" s="657"/>
    </row>
    <row r="64" spans="2:18">
      <c r="B64" s="656"/>
      <c r="D64" s="19"/>
      <c r="E64" s="539"/>
      <c r="F64" s="539"/>
      <c r="G64" s="539"/>
      <c r="H64" s="539"/>
      <c r="I64" s="643"/>
      <c r="J64" s="643"/>
      <c r="K64" s="643"/>
      <c r="L64" s="539"/>
      <c r="M64" s="539"/>
      <c r="N64" s="539"/>
      <c r="O64" s="539"/>
      <c r="P64" s="539"/>
      <c r="Q64" s="657"/>
    </row>
    <row r="65" spans="2:17">
      <c r="B65" s="656"/>
      <c r="C65" s="819" t="s">
        <v>376</v>
      </c>
      <c r="D65" s="678" t="s">
        <v>36</v>
      </c>
      <c r="E65" s="679"/>
      <c r="F65" s="680"/>
      <c r="G65" s="681" t="s">
        <v>76</v>
      </c>
      <c r="H65" s="681"/>
      <c r="I65" s="682"/>
      <c r="J65" s="682" t="s">
        <v>131</v>
      </c>
      <c r="K65" s="682"/>
      <c r="L65" s="682"/>
      <c r="M65" s="683" t="s">
        <v>367</v>
      </c>
      <c r="N65" s="684" t="s">
        <v>5</v>
      </c>
      <c r="O65" s="685"/>
      <c r="P65" s="539"/>
      <c r="Q65" s="657"/>
    </row>
    <row r="66" spans="2:17">
      <c r="B66" s="656"/>
      <c r="C66" s="686" t="s">
        <v>197</v>
      </c>
      <c r="D66" s="431" t="s">
        <v>38</v>
      </c>
      <c r="E66" s="687"/>
      <c r="F66" s="688"/>
      <c r="G66" s="689" t="s">
        <v>43</v>
      </c>
      <c r="H66" s="689"/>
      <c r="I66" s="690"/>
      <c r="J66" s="440" t="s">
        <v>5</v>
      </c>
      <c r="K66" s="440"/>
      <c r="L66" s="440"/>
      <c r="M66" s="691" t="s">
        <v>27</v>
      </c>
      <c r="N66" s="692"/>
      <c r="O66" s="693"/>
      <c r="P66" s="539"/>
      <c r="Q66" s="657"/>
    </row>
    <row r="67" spans="2:17">
      <c r="B67" s="656"/>
      <c r="C67" s="694">
        <f>I14</f>
        <v>150000</v>
      </c>
      <c r="D67" s="695">
        <f>D35</f>
        <v>10000000</v>
      </c>
      <c r="E67" s="696"/>
      <c r="F67" s="697"/>
      <c r="G67" s="698">
        <v>1.4999999999999999E-2</v>
      </c>
      <c r="H67" s="698"/>
      <c r="I67" s="699"/>
      <c r="J67" s="700">
        <f>M59*G67</f>
        <v>750000</v>
      </c>
      <c r="K67" s="699"/>
      <c r="L67" s="699"/>
      <c r="M67" s="701" t="str">
        <f>ROUND(J67/C67,2) &amp; "X"</f>
        <v>5X</v>
      </c>
      <c r="N67" s="702">
        <f>G67*M61</f>
        <v>750000</v>
      </c>
      <c r="O67" s="703"/>
      <c r="P67" s="539"/>
      <c r="Q67" s="657"/>
    </row>
    <row r="68" spans="2:17">
      <c r="B68" s="656"/>
      <c r="C68" s="539"/>
      <c r="D68" s="539"/>
      <c r="E68" s="539"/>
      <c r="F68" s="539"/>
      <c r="G68" s="539"/>
      <c r="H68" s="539"/>
      <c r="I68" s="643"/>
      <c r="J68" s="643"/>
      <c r="K68" s="643"/>
      <c r="L68" s="539"/>
      <c r="M68" s="539"/>
      <c r="N68" s="539"/>
      <c r="O68" s="539"/>
      <c r="P68" s="539"/>
      <c r="Q68" s="657"/>
    </row>
    <row r="69" spans="2:17">
      <c r="B69" s="704" t="s">
        <v>75</v>
      </c>
      <c r="C69" s="539"/>
      <c r="D69" s="539"/>
      <c r="E69" s="539"/>
      <c r="F69" s="539"/>
      <c r="G69" s="539"/>
      <c r="H69" s="539"/>
      <c r="I69" s="643"/>
      <c r="J69" s="643"/>
      <c r="K69" s="643"/>
      <c r="L69" s="539"/>
      <c r="M69" s="539"/>
      <c r="N69" s="539"/>
      <c r="O69" s="539"/>
      <c r="P69" s="539"/>
      <c r="Q69" s="657"/>
    </row>
    <row r="70" spans="2:17">
      <c r="B70" s="704"/>
      <c r="C70" s="539"/>
      <c r="D70" s="539"/>
      <c r="E70" s="539"/>
      <c r="F70" s="539"/>
      <c r="G70" s="539"/>
      <c r="H70" s="539"/>
      <c r="I70" s="643"/>
      <c r="J70" s="643"/>
      <c r="K70" s="643"/>
      <c r="L70" s="539"/>
      <c r="M70" s="539"/>
      <c r="N70" s="539"/>
      <c r="O70" s="539"/>
      <c r="P70" s="539"/>
      <c r="Q70" s="657"/>
    </row>
    <row r="71" spans="2:17">
      <c r="B71" s="658"/>
      <c r="C71" s="431" t="s">
        <v>63</v>
      </c>
      <c r="D71" s="606" t="s">
        <v>42</v>
      </c>
      <c r="E71" s="539"/>
      <c r="F71" s="606" t="s">
        <v>42</v>
      </c>
      <c r="G71" s="539"/>
      <c r="H71" s="539"/>
      <c r="I71" s="705" t="s">
        <v>47</v>
      </c>
      <c r="J71" s="606"/>
      <c r="K71" s="431" t="s">
        <v>367</v>
      </c>
      <c r="L71" s="539"/>
      <c r="M71" s="431" t="s">
        <v>367</v>
      </c>
      <c r="N71" s="431"/>
      <c r="O71" s="431" t="s">
        <v>367</v>
      </c>
      <c r="P71" s="539"/>
      <c r="Q71" s="706"/>
    </row>
    <row r="72" spans="2:17">
      <c r="B72" s="656"/>
      <c r="C72" s="707" t="s">
        <v>64</v>
      </c>
      <c r="D72" s="606" t="s">
        <v>39</v>
      </c>
      <c r="E72" s="623"/>
      <c r="F72" s="606" t="s">
        <v>41</v>
      </c>
      <c r="G72" s="539"/>
      <c r="H72" s="539"/>
      <c r="I72" s="708" t="s">
        <v>48</v>
      </c>
      <c r="J72" s="708"/>
      <c r="K72" s="431" t="s">
        <v>49</v>
      </c>
      <c r="L72" s="623"/>
      <c r="M72" s="431" t="s">
        <v>50</v>
      </c>
      <c r="N72" s="431"/>
      <c r="O72" s="431" t="s">
        <v>39</v>
      </c>
      <c r="P72" s="539"/>
      <c r="Q72" s="706"/>
    </row>
    <row r="73" spans="2:17">
      <c r="B73" s="656"/>
      <c r="C73" s="709" t="s">
        <v>31</v>
      </c>
      <c r="D73" s="710">
        <v>6000000</v>
      </c>
      <c r="E73" s="711"/>
      <c r="F73" s="712">
        <v>0.75</v>
      </c>
      <c r="G73" s="713"/>
      <c r="H73" s="713"/>
      <c r="I73" s="714">
        <f>F73+F74</f>
        <v>1</v>
      </c>
      <c r="J73" s="715">
        <f>I73-J75-(J76)</f>
        <v>0.8</v>
      </c>
      <c r="K73" s="716">
        <f>J73*F73-(F73*K76)</f>
        <v>0.60000000000000009</v>
      </c>
      <c r="L73" s="711"/>
      <c r="M73" s="717">
        <f>K73*M59</f>
        <v>30000000.000000004</v>
      </c>
      <c r="N73" s="718"/>
      <c r="O73" s="719">
        <f>D73</f>
        <v>6000000</v>
      </c>
      <c r="P73" s="606"/>
      <c r="Q73" s="657"/>
    </row>
    <row r="74" spans="2:17">
      <c r="B74" s="720"/>
      <c r="C74" s="721" t="s">
        <v>32</v>
      </c>
      <c r="D74" s="722">
        <v>2000000</v>
      </c>
      <c r="E74" s="539"/>
      <c r="F74" s="723">
        <v>0.25</v>
      </c>
      <c r="G74" s="431"/>
      <c r="H74" s="431"/>
      <c r="I74" s="724"/>
      <c r="J74" s="724"/>
      <c r="K74" s="725">
        <f>J73*F74-(F74*K76)</f>
        <v>0.2</v>
      </c>
      <c r="L74" s="539"/>
      <c r="M74" s="662">
        <f>K74*M59</f>
        <v>10000000</v>
      </c>
      <c r="N74" s="726"/>
      <c r="O74" s="727">
        <f>D74</f>
        <v>2000000</v>
      </c>
      <c r="P74" s="606"/>
      <c r="Q74" s="657"/>
    </row>
    <row r="75" spans="2:17">
      <c r="B75" s="656"/>
      <c r="C75" s="721" t="s">
        <v>109</v>
      </c>
      <c r="D75" s="539"/>
      <c r="E75" s="728"/>
      <c r="F75" s="723"/>
      <c r="G75" s="606"/>
      <c r="H75" s="606"/>
      <c r="I75" s="729" t="s">
        <v>34</v>
      </c>
      <c r="J75" s="730">
        <f>(1%*Q82)</f>
        <v>0.2</v>
      </c>
      <c r="K75" s="731">
        <f>J75</f>
        <v>0.2</v>
      </c>
      <c r="L75" s="539"/>
      <c r="M75" s="662">
        <f>K75*M59</f>
        <v>10000000</v>
      </c>
      <c r="N75" s="726"/>
      <c r="O75" s="727">
        <f>K75*I77</f>
        <v>1999999.9999999998</v>
      </c>
      <c r="P75" s="606"/>
      <c r="Q75" s="732"/>
    </row>
    <row r="76" spans="2:17" ht="19" thickBot="1">
      <c r="B76" s="656"/>
      <c r="C76" s="733" t="s">
        <v>35</v>
      </c>
      <c r="D76" s="544"/>
      <c r="E76" s="544"/>
      <c r="F76" s="734"/>
      <c r="G76" s="735"/>
      <c r="H76" s="735"/>
      <c r="I76" s="736"/>
      <c r="J76" s="736"/>
      <c r="K76" s="737">
        <f>'ROUND A CAP TABLE'!N54</f>
        <v>0</v>
      </c>
      <c r="L76" s="544"/>
      <c r="M76" s="738">
        <f>K76*M59</f>
        <v>0</v>
      </c>
      <c r="N76" s="739"/>
      <c r="O76" s="740">
        <f>I77*K76</f>
        <v>0</v>
      </c>
      <c r="P76" s="606"/>
      <c r="Q76" s="657"/>
    </row>
    <row r="77" spans="2:17">
      <c r="B77" s="656"/>
      <c r="C77" s="527"/>
      <c r="D77" s="527"/>
      <c r="E77" s="527"/>
      <c r="F77" s="527"/>
      <c r="G77" s="527"/>
      <c r="H77" s="527"/>
      <c r="I77" s="741">
        <f>O73/K73</f>
        <v>9999999.9999999981</v>
      </c>
      <c r="J77" s="742"/>
      <c r="K77" s="743">
        <f>SUM(K73:K76)</f>
        <v>1</v>
      </c>
      <c r="L77" s="539"/>
      <c r="M77" s="744"/>
      <c r="N77" s="744"/>
      <c r="O77" s="745"/>
      <c r="P77" s="539"/>
      <c r="Q77" s="657"/>
    </row>
    <row r="78" spans="2:17">
      <c r="B78" s="656"/>
      <c r="C78" s="539"/>
      <c r="D78" s="728">
        <f>D73+D74</f>
        <v>8000000</v>
      </c>
      <c r="E78" s="539" t="s">
        <v>99</v>
      </c>
      <c r="F78" s="539"/>
      <c r="G78" s="539"/>
      <c r="H78" s="539"/>
      <c r="I78" s="539"/>
      <c r="J78" s="643"/>
      <c r="K78" s="746" t="s">
        <v>56</v>
      </c>
      <c r="L78" s="747"/>
      <c r="M78" s="748">
        <f>SUM(M73:M76)</f>
        <v>50000000</v>
      </c>
      <c r="N78" s="748"/>
      <c r="O78" s="749">
        <f>SUM(O73:O76)</f>
        <v>10000000</v>
      </c>
      <c r="P78" s="539" t="s">
        <v>45</v>
      </c>
      <c r="Q78" s="657"/>
    </row>
    <row r="79" spans="2:17">
      <c r="B79" s="656"/>
      <c r="C79" s="539"/>
      <c r="D79" s="750"/>
      <c r="E79" s="539"/>
      <c r="F79" s="539"/>
      <c r="G79" s="539"/>
      <c r="H79" s="539"/>
      <c r="I79" s="539"/>
      <c r="J79" s="539"/>
      <c r="K79" s="643"/>
      <c r="L79" s="751"/>
      <c r="M79" s="663" t="s">
        <v>151</v>
      </c>
      <c r="N79" s="539"/>
      <c r="O79" s="752">
        <f>M78/O78</f>
        <v>5</v>
      </c>
      <c r="P79" s="539" t="s">
        <v>55</v>
      </c>
      <c r="Q79" s="657"/>
    </row>
    <row r="80" spans="2:17">
      <c r="B80" s="704" t="s">
        <v>105</v>
      </c>
      <c r="C80" s="539"/>
      <c r="D80" s="539"/>
      <c r="E80" s="539"/>
      <c r="F80" s="539"/>
      <c r="G80" s="539"/>
      <c r="H80" s="539"/>
      <c r="I80" s="539"/>
      <c r="J80" s="539"/>
      <c r="K80" s="643"/>
      <c r="L80" s="643"/>
      <c r="M80" s="753"/>
      <c r="N80" s="661"/>
      <c r="O80" s="661"/>
      <c r="P80" s="661"/>
      <c r="Q80" s="812"/>
    </row>
    <row r="81" spans="2:19">
      <c r="B81" s="704"/>
      <c r="C81" s="539"/>
      <c r="D81" s="754" t="s">
        <v>51</v>
      </c>
      <c r="E81" s="755"/>
      <c r="F81" s="756" t="s">
        <v>41</v>
      </c>
      <c r="G81" s="755"/>
      <c r="H81" s="755"/>
      <c r="I81" s="142" t="s">
        <v>61</v>
      </c>
      <c r="J81" s="755"/>
      <c r="K81" s="755"/>
      <c r="L81" s="115">
        <f>M61</f>
        <v>50000000</v>
      </c>
      <c r="M81" s="757"/>
      <c r="N81" s="661"/>
      <c r="O81" s="661"/>
      <c r="P81" s="813" t="s">
        <v>114</v>
      </c>
      <c r="Q81" s="812"/>
    </row>
    <row r="82" spans="2:19">
      <c r="B82" s="656"/>
      <c r="C82" s="19" t="s">
        <v>31</v>
      </c>
      <c r="D82" s="758">
        <f>O73</f>
        <v>6000000</v>
      </c>
      <c r="E82" s="759"/>
      <c r="F82" s="760">
        <f>K73</f>
        <v>0.60000000000000009</v>
      </c>
      <c r="G82" s="761"/>
      <c r="H82" s="761"/>
      <c r="I82" s="762"/>
      <c r="J82" s="763"/>
      <c r="K82" s="763"/>
      <c r="L82" s="28">
        <f>F82*L81</f>
        <v>30000000.000000004</v>
      </c>
      <c r="M82" s="764"/>
      <c r="N82" s="661"/>
      <c r="O82" s="666" t="s">
        <v>65</v>
      </c>
      <c r="P82" s="661"/>
      <c r="Q82" s="814">
        <v>20</v>
      </c>
      <c r="S82" s="765">
        <f>Q83*Q82</f>
        <v>600000</v>
      </c>
    </row>
    <row r="83" spans="2:19">
      <c r="B83" s="656"/>
      <c r="C83" s="19" t="s">
        <v>32</v>
      </c>
      <c r="D83" s="766">
        <f>O74</f>
        <v>2000000</v>
      </c>
      <c r="E83" s="755"/>
      <c r="F83" s="767">
        <f>K74</f>
        <v>0.2</v>
      </c>
      <c r="G83" s="768"/>
      <c r="H83" s="768"/>
      <c r="I83" s="142"/>
      <c r="J83" s="755"/>
      <c r="K83" s="755"/>
      <c r="L83" s="27">
        <f>F83*L81</f>
        <v>10000000</v>
      </c>
      <c r="M83" s="757"/>
      <c r="N83" s="661"/>
      <c r="O83" s="815" t="s">
        <v>66</v>
      </c>
      <c r="P83" s="816"/>
      <c r="Q83" s="817">
        <f>'ROUND A CAP TABLE'!F22*(O78/Q82)</f>
        <v>30000</v>
      </c>
      <c r="S83" s="608">
        <f>S82/O78</f>
        <v>0.06</v>
      </c>
    </row>
    <row r="84" spans="2:19">
      <c r="B84" s="656"/>
      <c r="C84" s="19" t="s">
        <v>33</v>
      </c>
      <c r="D84" s="758">
        <f t="shared" ref="D84:D85" si="0">O75</f>
        <v>1999999.9999999998</v>
      </c>
      <c r="E84" s="759"/>
      <c r="F84" s="760">
        <f t="shared" ref="F84:F85" si="1">K75</f>
        <v>0.2</v>
      </c>
      <c r="G84" s="769"/>
      <c r="H84" s="769"/>
      <c r="I84" s="762"/>
      <c r="J84" s="763"/>
      <c r="K84" s="763"/>
      <c r="L84" s="28">
        <f>F84*L81</f>
        <v>10000000</v>
      </c>
      <c r="M84" s="764"/>
      <c r="N84" s="661"/>
      <c r="O84" s="660" t="s">
        <v>187</v>
      </c>
      <c r="P84" s="661"/>
      <c r="Q84" s="818">
        <f>J67</f>
        <v>750000</v>
      </c>
    </row>
    <row r="85" spans="2:19">
      <c r="B85" s="656"/>
      <c r="C85" s="19" t="s">
        <v>52</v>
      </c>
      <c r="D85" s="770">
        <f t="shared" si="0"/>
        <v>0</v>
      </c>
      <c r="E85" s="771"/>
      <c r="F85" s="767">
        <f t="shared" si="1"/>
        <v>0</v>
      </c>
      <c r="G85" s="772"/>
      <c r="H85" s="772"/>
      <c r="I85" s="142"/>
      <c r="J85" s="755"/>
      <c r="K85" s="755"/>
      <c r="L85" s="27">
        <f>F85*L81</f>
        <v>0</v>
      </c>
      <c r="M85" s="757"/>
      <c r="N85" s="661"/>
      <c r="O85" s="666" t="s">
        <v>361</v>
      </c>
      <c r="P85" s="661"/>
      <c r="Q85" s="814" t="str">
        <f>ROUND(Q84/C67,2) &amp; " X"</f>
        <v>5 X</v>
      </c>
    </row>
    <row r="86" spans="2:19" ht="19" thickBot="1">
      <c r="B86" s="650"/>
      <c r="C86" s="651"/>
      <c r="D86" s="651"/>
      <c r="E86" s="651"/>
      <c r="F86" s="651"/>
      <c r="G86" s="651"/>
      <c r="H86" s="651"/>
      <c r="I86" s="773"/>
      <c r="J86" s="651"/>
      <c r="K86" s="651"/>
      <c r="L86" s="651"/>
      <c r="M86" s="651"/>
      <c r="N86" s="651"/>
      <c r="O86" s="651"/>
      <c r="P86" s="651"/>
      <c r="Q86" s="774"/>
    </row>
    <row r="87" spans="2:19" ht="19" thickTop="1"/>
    <row r="88" spans="2:19">
      <c r="B88" s="775"/>
      <c r="C88" s="776"/>
      <c r="D88" s="776"/>
      <c r="E88" s="776"/>
      <c r="F88" s="776"/>
      <c r="G88" s="776"/>
      <c r="H88" s="776"/>
      <c r="I88" s="777" t="s">
        <v>101</v>
      </c>
      <c r="J88" s="776"/>
      <c r="K88" s="776"/>
      <c r="L88" s="776"/>
      <c r="M88" s="776"/>
      <c r="N88" s="776"/>
      <c r="O88" s="776"/>
      <c r="P88" s="776"/>
      <c r="Q88" s="778"/>
    </row>
    <row r="89" spans="2:19">
      <c r="B89" s="779"/>
      <c r="C89" s="678"/>
      <c r="D89" s="780"/>
      <c r="E89" s="555"/>
      <c r="F89" s="555"/>
      <c r="G89" s="555"/>
      <c r="H89" s="555"/>
      <c r="I89" s="555"/>
      <c r="J89" s="555"/>
      <c r="K89" s="555"/>
      <c r="L89" s="555"/>
      <c r="M89" s="555"/>
      <c r="N89" s="555"/>
      <c r="O89" s="555"/>
      <c r="P89" s="781"/>
      <c r="Q89" s="782"/>
    </row>
    <row r="90" spans="2:19">
      <c r="B90" s="783" t="s">
        <v>103</v>
      </c>
      <c r="C90" s="606" t="s">
        <v>100</v>
      </c>
      <c r="D90" s="606" t="s">
        <v>70</v>
      </c>
      <c r="E90" s="606"/>
      <c r="F90" s="606" t="s">
        <v>70</v>
      </c>
      <c r="G90" s="606"/>
      <c r="H90" s="606"/>
      <c r="I90" s="606" t="s">
        <v>73</v>
      </c>
      <c r="J90" s="606"/>
      <c r="K90" s="606"/>
      <c r="L90" s="440"/>
      <c r="M90" s="440"/>
      <c r="N90" s="440"/>
      <c r="O90" s="440"/>
      <c r="P90" s="440"/>
      <c r="Q90" s="784"/>
      <c r="S90" s="336"/>
    </row>
    <row r="91" spans="2:19">
      <c r="B91" s="783" t="s">
        <v>44</v>
      </c>
      <c r="C91" s="606" t="s">
        <v>71</v>
      </c>
      <c r="D91" s="606" t="s">
        <v>74</v>
      </c>
      <c r="E91" s="606"/>
      <c r="F91" s="606" t="s">
        <v>69</v>
      </c>
      <c r="G91" s="606"/>
      <c r="H91" s="606"/>
      <c r="I91" s="606" t="s">
        <v>102</v>
      </c>
      <c r="J91" s="606"/>
      <c r="K91" s="606"/>
      <c r="Q91" s="784"/>
      <c r="S91" s="336"/>
    </row>
    <row r="92" spans="2:19" ht="20">
      <c r="B92" s="785">
        <f>C16</f>
        <v>0</v>
      </c>
      <c r="C92" s="792">
        <f>C14</f>
        <v>8.5000000000000006E-2</v>
      </c>
      <c r="D92" s="805">
        <v>0.8</v>
      </c>
      <c r="E92" s="805"/>
      <c r="F92" s="792">
        <f>C92*D92</f>
        <v>6.8000000000000005E-2</v>
      </c>
      <c r="G92" s="792"/>
      <c r="H92" s="792"/>
      <c r="I92" s="792">
        <f>G67</f>
        <v>1.4999999999999999E-2</v>
      </c>
      <c r="J92" s="606"/>
      <c r="K92" s="787">
        <f>I92+F92</f>
        <v>8.3000000000000004E-2</v>
      </c>
      <c r="Q92" s="784"/>
      <c r="R92" s="336"/>
      <c r="S92" s="336"/>
    </row>
    <row r="93" spans="2:19">
      <c r="B93" s="785"/>
      <c r="C93" s="786"/>
      <c r="D93" s="725"/>
      <c r="E93" s="725"/>
      <c r="F93" s="787"/>
      <c r="G93" s="787"/>
      <c r="H93" s="787"/>
      <c r="I93" s="787"/>
      <c r="J93" s="606"/>
      <c r="K93" s="606"/>
      <c r="Q93" s="784"/>
      <c r="R93" s="336"/>
      <c r="S93" s="336"/>
    </row>
    <row r="94" spans="2:19" ht="23">
      <c r="B94" s="785"/>
      <c r="C94" s="786"/>
      <c r="D94" s="725"/>
      <c r="E94" s="725"/>
      <c r="F94" s="787"/>
      <c r="G94" s="787"/>
      <c r="H94" s="787"/>
      <c r="I94" s="793"/>
      <c r="J94" s="794"/>
      <c r="K94" s="794"/>
      <c r="L94" s="795"/>
      <c r="M94" s="796"/>
      <c r="N94" s="796"/>
      <c r="O94" s="432"/>
      <c r="P94" s="432"/>
      <c r="Q94" s="797"/>
      <c r="R94" s="336"/>
      <c r="S94" s="336"/>
    </row>
    <row r="95" spans="2:19" ht="23">
      <c r="B95" s="785"/>
      <c r="C95" s="786"/>
      <c r="D95" s="725"/>
      <c r="E95" s="725"/>
      <c r="F95" s="787"/>
      <c r="G95" s="787"/>
      <c r="H95" s="787"/>
      <c r="I95" s="798" t="s">
        <v>372</v>
      </c>
      <c r="J95" s="798"/>
      <c r="K95" s="798"/>
      <c r="L95" s="795"/>
      <c r="M95" s="796" t="s">
        <v>373</v>
      </c>
      <c r="N95" s="796"/>
      <c r="O95" s="811" t="s">
        <v>374</v>
      </c>
      <c r="P95" s="432"/>
      <c r="Q95" s="797"/>
      <c r="R95" s="336"/>
      <c r="S95" s="336"/>
    </row>
    <row r="96" spans="2:19" ht="23">
      <c r="B96" s="785"/>
      <c r="C96" s="786"/>
      <c r="D96" s="725"/>
      <c r="E96" s="725"/>
      <c r="F96" s="787"/>
      <c r="G96" s="787"/>
      <c r="H96" s="787"/>
      <c r="I96" s="179"/>
      <c r="J96" s="179"/>
      <c r="K96" s="806">
        <f>O53</f>
        <v>6.0000000000000001E-3</v>
      </c>
      <c r="L96" s="807"/>
      <c r="M96" s="808">
        <f>F92+I92+B92</f>
        <v>8.3000000000000004E-2</v>
      </c>
      <c r="N96" s="809"/>
      <c r="O96" s="809"/>
      <c r="P96" s="810">
        <f>M96+K96</f>
        <v>8.900000000000001E-2</v>
      </c>
      <c r="Q96" s="799"/>
      <c r="R96" s="336"/>
      <c r="S96" s="336"/>
    </row>
    <row r="97" spans="2:19" ht="23">
      <c r="B97" s="785"/>
      <c r="C97" s="786"/>
      <c r="D97" s="725"/>
      <c r="E97" s="725"/>
      <c r="F97" s="787"/>
      <c r="G97" s="787"/>
      <c r="H97" s="787"/>
      <c r="I97" s="179"/>
      <c r="J97" s="179"/>
      <c r="K97" s="800"/>
      <c r="L97" s="795"/>
      <c r="M97" s="801"/>
      <c r="N97" s="802"/>
      <c r="O97" s="802"/>
      <c r="P97" s="432"/>
      <c r="Q97" s="797"/>
      <c r="R97" s="336"/>
      <c r="S97" s="336"/>
    </row>
    <row r="98" spans="2:19" ht="23">
      <c r="B98" s="785"/>
      <c r="C98" s="786"/>
      <c r="D98" s="725"/>
      <c r="E98" s="725"/>
      <c r="F98" s="787"/>
      <c r="G98" s="787"/>
      <c r="H98" s="787"/>
      <c r="I98" s="179"/>
      <c r="J98" s="179"/>
      <c r="K98" s="800"/>
      <c r="L98" s="795"/>
      <c r="M98" s="801"/>
      <c r="N98" s="802"/>
      <c r="O98" s="803" t="s">
        <v>72</v>
      </c>
      <c r="P98" s="803"/>
      <c r="Q98" s="804"/>
      <c r="R98" s="336"/>
      <c r="S98" s="336"/>
    </row>
    <row r="99" spans="2:19" ht="23">
      <c r="B99" s="785"/>
      <c r="C99" s="786"/>
      <c r="D99" s="725"/>
      <c r="E99" s="725"/>
      <c r="F99" s="787"/>
      <c r="G99" s="787"/>
      <c r="H99" s="787"/>
      <c r="I99" s="179"/>
      <c r="J99" s="179"/>
      <c r="K99" s="800"/>
      <c r="L99" s="795"/>
      <c r="M99" s="801"/>
      <c r="N99" s="802"/>
      <c r="O99" s="441">
        <f>M61*P96</f>
        <v>4450000.0000000009</v>
      </c>
      <c r="P99" s="441"/>
      <c r="Q99" s="797" t="str">
        <f>"    " &amp; ROUND(O99/I14,2) &amp; " X "</f>
        <v xml:space="preserve">    29.67 X </v>
      </c>
      <c r="R99" s="336"/>
      <c r="S99" s="336"/>
    </row>
    <row r="100" spans="2:19">
      <c r="B100" s="788"/>
      <c r="C100" s="789"/>
      <c r="D100" s="623"/>
      <c r="E100" s="623"/>
      <c r="F100" s="623"/>
      <c r="G100" s="623"/>
      <c r="H100" s="623"/>
      <c r="I100" s="623"/>
      <c r="J100" s="623"/>
      <c r="K100" s="623"/>
      <c r="L100" s="623"/>
      <c r="M100" s="623"/>
      <c r="N100" s="623"/>
      <c r="O100" s="623"/>
      <c r="P100" s="790"/>
      <c r="Q100" s="791"/>
    </row>
    <row r="102" spans="2:19">
      <c r="C102" s="605"/>
      <c r="D102" s="605"/>
      <c r="E102" s="605"/>
      <c r="F102" s="605"/>
      <c r="G102" s="605"/>
      <c r="H102" s="605" t="s">
        <v>67</v>
      </c>
      <c r="I102" s="605"/>
      <c r="J102" s="605"/>
      <c r="K102" s="605"/>
      <c r="L102" s="605"/>
      <c r="M102" s="605"/>
      <c r="N102" s="605"/>
      <c r="O102" s="605"/>
      <c r="P102" s="605"/>
      <c r="Q102" s="605"/>
    </row>
    <row r="103" spans="2:19">
      <c r="C103" s="605"/>
      <c r="D103" s="605"/>
      <c r="E103" s="605"/>
      <c r="F103" s="605"/>
      <c r="G103" s="605"/>
      <c r="H103" s="605" t="s">
        <v>68</v>
      </c>
      <c r="I103" s="605"/>
      <c r="J103" s="605"/>
      <c r="K103" s="605"/>
      <c r="L103" s="605"/>
      <c r="M103" s="605"/>
      <c r="N103" s="605"/>
      <c r="O103" s="605"/>
      <c r="P103" s="605"/>
      <c r="Q103" s="605"/>
    </row>
  </sheetData>
  <mergeCells count="20">
    <mergeCell ref="I95:K95"/>
    <mergeCell ref="M96:O96"/>
    <mergeCell ref="O90:P90"/>
    <mergeCell ref="O98:P98"/>
    <mergeCell ref="O99:P99"/>
    <mergeCell ref="L90:N90"/>
    <mergeCell ref="K78:L78"/>
    <mergeCell ref="J65:L65"/>
    <mergeCell ref="G66:I66"/>
    <mergeCell ref="J66:L66"/>
    <mergeCell ref="G67:I67"/>
    <mergeCell ref="J67:L67"/>
    <mergeCell ref="M8:O8"/>
    <mergeCell ref="I73:I74"/>
    <mergeCell ref="J73:J74"/>
    <mergeCell ref="N67:O67"/>
    <mergeCell ref="N65:O66"/>
    <mergeCell ref="G65:I65"/>
    <mergeCell ref="N31:O31"/>
    <mergeCell ref="N32:O32"/>
  </mergeCells>
  <phoneticPr fontId="6" type="noConversion"/>
  <printOptions horizontalCentered="1" verticalCentered="1"/>
  <pageMargins left="0" right="0" top="0" bottom="0" header="0" footer="0"/>
  <pageSetup scale="38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42" zoomScale="60" zoomScaleNormal="60" zoomScalePageLayoutView="60" workbookViewId="0">
      <selection activeCell="J51" sqref="J51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232" t="s">
        <v>112</v>
      </c>
      <c r="M3" s="242" t="s">
        <v>154</v>
      </c>
      <c r="N3" s="7"/>
    </row>
    <row r="4" spans="3:19" ht="23">
      <c r="L4" s="24" t="s">
        <v>156</v>
      </c>
      <c r="M4" s="246">
        <v>25000000</v>
      </c>
      <c r="N4" s="149" t="s">
        <v>153</v>
      </c>
      <c r="P4" s="7"/>
      <c r="Q4" s="7"/>
      <c r="R4" s="7"/>
      <c r="S4" s="7"/>
    </row>
    <row r="5" spans="3:19" ht="24" thickBot="1">
      <c r="M5" s="242">
        <v>7</v>
      </c>
      <c r="N5" s="149" t="s">
        <v>7</v>
      </c>
      <c r="P5" s="7"/>
      <c r="Q5" s="7"/>
      <c r="R5" s="7"/>
      <c r="S5" s="7"/>
    </row>
    <row r="6" spans="3:19" ht="25">
      <c r="M6" s="245">
        <f>M5*M4</f>
        <v>175000000</v>
      </c>
      <c r="N6" s="148" t="s">
        <v>155</v>
      </c>
      <c r="P6" s="487" t="s">
        <v>134</v>
      </c>
      <c r="Q6" s="488"/>
      <c r="R6" s="489"/>
      <c r="S6" s="7"/>
    </row>
    <row r="7" spans="3:19">
      <c r="P7" s="490"/>
      <c r="Q7" s="491"/>
      <c r="R7" s="492"/>
      <c r="S7" s="7"/>
    </row>
    <row r="8" spans="3:19" ht="16" thickBot="1">
      <c r="P8" s="493"/>
      <c r="Q8" s="494"/>
      <c r="R8" s="495"/>
      <c r="S8" s="7"/>
    </row>
    <row r="9" spans="3:19" ht="58" customHeight="1" thickBot="1">
      <c r="C9" s="127" t="s">
        <v>121</v>
      </c>
      <c r="G9" s="232"/>
      <c r="M9" s="455" t="s">
        <v>80</v>
      </c>
      <c r="N9" s="456"/>
      <c r="O9" s="457"/>
      <c r="P9" s="104">
        <f>M4*3</f>
        <v>75000000</v>
      </c>
      <c r="Q9" s="104">
        <f>M4*5</f>
        <v>125000000</v>
      </c>
      <c r="R9" s="104">
        <f>M4*7</f>
        <v>175000000</v>
      </c>
      <c r="S9" s="7"/>
    </row>
    <row r="10" spans="3:19" ht="30">
      <c r="C10" s="116"/>
      <c r="F10" s="296" t="s">
        <v>194</v>
      </c>
      <c r="G10" s="296"/>
      <c r="M10" s="458" t="s">
        <v>135</v>
      </c>
      <c r="N10" s="459"/>
      <c r="O10" s="460"/>
      <c r="P10" s="89"/>
      <c r="Q10" s="89"/>
      <c r="R10" s="89"/>
      <c r="S10" s="7"/>
    </row>
    <row r="11" spans="3:19" ht="25">
      <c r="C11" s="157" t="s">
        <v>139</v>
      </c>
      <c r="H11" s="7"/>
      <c r="L11" s="7"/>
      <c r="M11" s="461" t="s">
        <v>31</v>
      </c>
      <c r="N11" s="462"/>
      <c r="O11" s="463"/>
      <c r="P11" s="88">
        <f>+P9*N45</f>
        <v>52875000</v>
      </c>
      <c r="Q11" s="88">
        <f>+Q9*N45</f>
        <v>88125000</v>
      </c>
      <c r="R11" s="88">
        <f>+R9*N45</f>
        <v>123375000</v>
      </c>
      <c r="S11" s="7"/>
    </row>
    <row r="12" spans="3:19" ht="25">
      <c r="C12" s="157" t="s">
        <v>138</v>
      </c>
      <c r="J12" s="181" t="s">
        <v>189</v>
      </c>
      <c r="L12" s="7"/>
      <c r="M12" s="464"/>
      <c r="N12" s="465"/>
      <c r="O12" s="465"/>
      <c r="P12" s="166"/>
      <c r="Q12" s="166"/>
      <c r="R12" s="167"/>
      <c r="S12" s="7"/>
    </row>
    <row r="13" spans="3:19" ht="23">
      <c r="L13" s="7"/>
      <c r="M13" s="466" t="s">
        <v>136</v>
      </c>
      <c r="N13" s="467"/>
      <c r="O13" s="468"/>
      <c r="P13" s="92"/>
      <c r="Q13" s="92"/>
      <c r="R13" s="92"/>
      <c r="S13" s="7"/>
    </row>
    <row r="14" spans="3:19" ht="25">
      <c r="J14" s="128" t="s">
        <v>133</v>
      </c>
      <c r="L14" s="7"/>
      <c r="M14" s="469" t="s">
        <v>32</v>
      </c>
      <c r="N14" s="470"/>
      <c r="O14" s="471"/>
      <c r="P14" s="172">
        <f>+P9*N48</f>
        <v>17625000</v>
      </c>
      <c r="Q14" s="172">
        <f>+Q9*N48</f>
        <v>29375000</v>
      </c>
      <c r="R14" s="172">
        <f>+R9*N48</f>
        <v>41125000</v>
      </c>
      <c r="S14" s="7"/>
    </row>
    <row r="15" spans="3:19" ht="23">
      <c r="F15" s="7"/>
      <c r="G15" s="7"/>
      <c r="H15" s="7"/>
      <c r="L15" s="7"/>
      <c r="M15" s="464"/>
      <c r="N15" s="465"/>
      <c r="O15" s="465"/>
      <c r="P15" s="173"/>
      <c r="Q15" s="173"/>
      <c r="R15" s="174"/>
      <c r="S15" s="7"/>
    </row>
    <row r="16" spans="3:19" ht="25">
      <c r="F16" s="7"/>
      <c r="G16" s="7"/>
      <c r="H16" s="7"/>
      <c r="I16" s="508" t="s">
        <v>119</v>
      </c>
      <c r="J16" s="509"/>
      <c r="K16" s="510"/>
      <c r="L16" s="7"/>
      <c r="M16" s="472" t="s">
        <v>89</v>
      </c>
      <c r="N16" s="473"/>
      <c r="O16" s="474"/>
      <c r="P16" s="236"/>
      <c r="Q16" s="236"/>
      <c r="R16" s="236"/>
      <c r="S16" s="7"/>
    </row>
    <row r="17" spans="2:27" ht="23">
      <c r="H17" s="7"/>
      <c r="I17" s="120"/>
      <c r="J17" s="121"/>
      <c r="K17" s="122"/>
      <c r="L17" s="7"/>
      <c r="M17" s="475" t="s">
        <v>110</v>
      </c>
      <c r="N17" s="476"/>
      <c r="O17" s="477"/>
      <c r="P17" s="87">
        <f>+P9*N51</f>
        <v>4500000</v>
      </c>
      <c r="Q17" s="87">
        <f>+Q9*N51</f>
        <v>7500000</v>
      </c>
      <c r="R17" s="87">
        <f>+R9*N51</f>
        <v>10500000</v>
      </c>
      <c r="S17" s="7"/>
    </row>
    <row r="18" spans="2:27" ht="25">
      <c r="D18" s="26" t="s">
        <v>195</v>
      </c>
      <c r="H18" s="7"/>
      <c r="I18" s="129" t="s">
        <v>45</v>
      </c>
      <c r="J18" s="130" t="s">
        <v>44</v>
      </c>
      <c r="K18" s="175" t="s">
        <v>124</v>
      </c>
      <c r="L18" s="7"/>
      <c r="M18" s="464"/>
      <c r="N18" s="465"/>
      <c r="O18" s="465"/>
      <c r="P18" s="168"/>
      <c r="Q18" s="168"/>
      <c r="R18" s="169"/>
      <c r="S18" s="7"/>
    </row>
    <row r="19" spans="2:27" ht="23">
      <c r="H19" s="7"/>
      <c r="I19" s="176">
        <f>M56*J19</f>
        <v>100000</v>
      </c>
      <c r="J19" s="131">
        <v>0.01</v>
      </c>
      <c r="K19" s="132">
        <f>I19*N41</f>
        <v>300000</v>
      </c>
      <c r="L19" s="7"/>
      <c r="M19" s="472" t="s">
        <v>108</v>
      </c>
      <c r="N19" s="473"/>
      <c r="O19" s="474"/>
      <c r="P19" s="90"/>
      <c r="Q19" s="90"/>
      <c r="R19" s="90"/>
      <c r="S19" s="7"/>
    </row>
    <row r="20" spans="2:27" ht="23">
      <c r="C20" s="184" t="s">
        <v>127</v>
      </c>
      <c r="D20" s="185" t="s">
        <v>131</v>
      </c>
      <c r="E20" s="185" t="s">
        <v>132</v>
      </c>
      <c r="F20" s="185" t="s">
        <v>37</v>
      </c>
      <c r="G20" s="186" t="s">
        <v>37</v>
      </c>
      <c r="H20" s="7"/>
      <c r="I20" s="176">
        <f>M56*J20</f>
        <v>200000</v>
      </c>
      <c r="J20" s="131">
        <v>0.02</v>
      </c>
      <c r="K20" s="132">
        <f>I20*N41</f>
        <v>600000</v>
      </c>
      <c r="L20" s="7"/>
      <c r="M20" s="475" t="s">
        <v>110</v>
      </c>
      <c r="N20" s="476"/>
      <c r="O20" s="477"/>
      <c r="P20" s="87" t="e">
        <f>P9*#REF!</f>
        <v>#REF!</v>
      </c>
      <c r="Q20" s="87" t="e">
        <f>Q9*#REF!</f>
        <v>#REF!</v>
      </c>
      <c r="R20" s="87" t="e">
        <f>R9*#REF!</f>
        <v>#REF!</v>
      </c>
      <c r="S20" s="7"/>
    </row>
    <row r="21" spans="2:27" ht="23">
      <c r="C21" s="187" t="s">
        <v>128</v>
      </c>
      <c r="D21" s="188" t="s">
        <v>130</v>
      </c>
      <c r="E21" s="188" t="s">
        <v>39</v>
      </c>
      <c r="F21" s="188" t="s">
        <v>3</v>
      </c>
      <c r="G21" s="189" t="s">
        <v>45</v>
      </c>
      <c r="H21" s="7"/>
      <c r="I21" s="176">
        <f>M56*J21</f>
        <v>300000</v>
      </c>
      <c r="J21" s="131">
        <v>0.03</v>
      </c>
      <c r="K21" s="132">
        <f>I21*N41</f>
        <v>900000</v>
      </c>
      <c r="L21" s="7"/>
      <c r="M21" s="464"/>
      <c r="N21" s="465"/>
      <c r="O21" s="465"/>
      <c r="P21" s="168"/>
      <c r="Q21" s="168"/>
      <c r="R21" s="169"/>
      <c r="S21" s="7"/>
    </row>
    <row r="22" spans="2:27" ht="23">
      <c r="B22" s="1">
        <f>J36</f>
        <v>2000000</v>
      </c>
      <c r="C22" s="182" t="s">
        <v>47</v>
      </c>
      <c r="D22" s="190">
        <f>'SAFE SERIES ONE'!O53</f>
        <v>6.0000000000000001E-3</v>
      </c>
      <c r="E22" s="191">
        <v>10</v>
      </c>
      <c r="F22" s="192">
        <f>E22*D22</f>
        <v>0.06</v>
      </c>
      <c r="G22" s="193">
        <f>F22*'SAFE SERIES ONE'!O78</f>
        <v>600000</v>
      </c>
      <c r="H22" s="7"/>
      <c r="I22" s="176">
        <f>M56*J22</f>
        <v>500000</v>
      </c>
      <c r="J22" s="131">
        <v>0.05</v>
      </c>
      <c r="K22" s="132">
        <f>I22*N41</f>
        <v>1500000</v>
      </c>
      <c r="L22" s="7"/>
      <c r="M22" s="478" t="s">
        <v>88</v>
      </c>
      <c r="N22" s="479"/>
      <c r="O22" s="480"/>
      <c r="P22" s="91"/>
      <c r="Q22" s="91"/>
      <c r="R22" s="91"/>
      <c r="S22" s="7"/>
    </row>
    <row r="23" spans="2:27" ht="23">
      <c r="B23" s="1" t="e">
        <f>#REF!</f>
        <v>#REF!</v>
      </c>
      <c r="C23" s="183" t="s">
        <v>123</v>
      </c>
      <c r="D23" s="194"/>
      <c r="E23" s="195">
        <v>0</v>
      </c>
      <c r="F23" s="196"/>
      <c r="G23" s="197"/>
      <c r="H23" s="422">
        <f>F23/12*10</f>
        <v>0</v>
      </c>
      <c r="I23" s="176">
        <f>M56*J23</f>
        <v>1000000</v>
      </c>
      <c r="J23" s="131">
        <v>0.1</v>
      </c>
      <c r="K23" s="132">
        <f>I23*N41</f>
        <v>3000000</v>
      </c>
      <c r="L23" s="7"/>
      <c r="M23" s="481" t="s">
        <v>35</v>
      </c>
      <c r="N23" s="482"/>
      <c r="O23" s="483"/>
      <c r="P23" s="86">
        <f>+P9*N54</f>
        <v>0</v>
      </c>
      <c r="Q23" s="86">
        <f>+Q9*N54</f>
        <v>0</v>
      </c>
      <c r="R23" s="86">
        <f>+R9*N54</f>
        <v>0</v>
      </c>
      <c r="S23" s="7"/>
    </row>
    <row r="24" spans="2:27" ht="24" thickBot="1">
      <c r="I24" s="176">
        <f>M56*J24</f>
        <v>2000000</v>
      </c>
      <c r="J24" s="131">
        <v>0.2</v>
      </c>
      <c r="K24" s="132">
        <f>I24*N41</f>
        <v>6000000</v>
      </c>
      <c r="L24" s="7"/>
      <c r="M24" s="464"/>
      <c r="N24" s="465"/>
      <c r="O24" s="465"/>
      <c r="P24" s="170"/>
      <c r="Q24" s="170"/>
      <c r="R24" s="171"/>
      <c r="S24" s="7"/>
    </row>
    <row r="25" spans="2:27" ht="24" thickBot="1">
      <c r="B25" s="1" t="e">
        <f>SUM(B22:B24)</f>
        <v>#REF!</v>
      </c>
      <c r="C25" s="178"/>
      <c r="D25" s="178"/>
      <c r="E25" s="198" t="s">
        <v>129</v>
      </c>
      <c r="F25" s="199">
        <f>SUM(F22:F24)</f>
        <v>0.06</v>
      </c>
      <c r="G25" s="200">
        <f>SUM(G22:G24)</f>
        <v>600000</v>
      </c>
      <c r="I25" s="123"/>
      <c r="J25" s="124"/>
      <c r="K25" s="93"/>
      <c r="L25" s="7"/>
      <c r="M25" s="484" t="s">
        <v>87</v>
      </c>
      <c r="N25" s="485"/>
      <c r="O25" s="486"/>
      <c r="P25" s="69" t="e">
        <f>+P11+P17+P23+P14+P20</f>
        <v>#REF!</v>
      </c>
      <c r="Q25" s="126" t="e">
        <f>+Q11+Q17+Q23+Q14+Q20</f>
        <v>#REF!</v>
      </c>
      <c r="R25" s="69" t="e">
        <f>+R11+R17+R23+R14+R20</f>
        <v>#REF!</v>
      </c>
      <c r="S25" s="7"/>
      <c r="AA25" s="159">
        <v>7500000</v>
      </c>
    </row>
    <row r="26" spans="2:27">
      <c r="F26" s="7"/>
      <c r="L26" s="7"/>
      <c r="S26" s="7"/>
      <c r="T26" s="237"/>
    </row>
    <row r="27" spans="2:27">
      <c r="F27" s="7"/>
      <c r="G27" s="7"/>
      <c r="H27" s="7"/>
      <c r="I27" s="7"/>
      <c r="J27" s="7"/>
      <c r="K27" s="7"/>
      <c r="L27" s="7"/>
      <c r="S27" s="7"/>
    </row>
    <row r="28" spans="2:27">
      <c r="F28" s="7"/>
      <c r="G28" s="7"/>
      <c r="H28" s="7"/>
      <c r="I28" s="7"/>
      <c r="J28" s="7"/>
      <c r="K28" s="7"/>
      <c r="L28" s="7"/>
      <c r="S28" s="7"/>
    </row>
    <row r="29" spans="2:27"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2:27">
      <c r="B30" s="105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7"/>
    </row>
    <row r="31" spans="2:27" ht="25">
      <c r="B31" s="108"/>
      <c r="C31" s="7"/>
      <c r="D31" s="7"/>
      <c r="E31" s="7"/>
      <c r="F31" s="7"/>
      <c r="G31" s="7"/>
      <c r="H31" s="155"/>
      <c r="I31" s="156"/>
      <c r="J31" s="297"/>
      <c r="K31" s="7"/>
      <c r="L31" s="299" t="s">
        <v>191</v>
      </c>
      <c r="M31" s="298"/>
      <c r="N31" s="25"/>
      <c r="O31" s="109"/>
      <c r="Q31" s="7"/>
    </row>
    <row r="32" spans="2:27" ht="27" customHeight="1" thickBot="1">
      <c r="B32" s="108"/>
      <c r="C32" s="7"/>
      <c r="D32" s="7"/>
      <c r="E32" s="7"/>
      <c r="F32" s="7"/>
      <c r="G32" s="7"/>
      <c r="H32" s="155"/>
      <c r="I32" s="156"/>
      <c r="J32" s="156"/>
      <c r="K32" s="7"/>
      <c r="L32" s="150"/>
      <c r="M32" s="234" t="s">
        <v>145</v>
      </c>
      <c r="N32" s="235">
        <f>N35/7</f>
        <v>4285714.2857142854</v>
      </c>
      <c r="O32" s="109"/>
      <c r="Q32" s="7"/>
    </row>
    <row r="33" spans="2:20" ht="29" customHeight="1" thickBot="1">
      <c r="B33" s="108"/>
      <c r="C33" s="7"/>
      <c r="D33" s="7"/>
      <c r="E33" s="7"/>
      <c r="F33" s="7"/>
      <c r="G33" s="165"/>
      <c r="H33" s="511" t="s">
        <v>118</v>
      </c>
      <c r="I33" s="512"/>
      <c r="J33" s="513"/>
      <c r="K33" s="275"/>
      <c r="L33" s="139"/>
      <c r="M33" s="140"/>
      <c r="N33" s="141"/>
      <c r="O33" s="109"/>
    </row>
    <row r="34" spans="2:20" ht="21">
      <c r="B34" s="108"/>
      <c r="C34" s="7"/>
      <c r="D34" s="7"/>
      <c r="E34" s="7"/>
      <c r="F34" s="7"/>
      <c r="G34" s="7"/>
      <c r="H34" s="514"/>
      <c r="I34" s="515"/>
      <c r="J34" s="516"/>
      <c r="K34" s="7"/>
      <c r="L34" s="517" t="s">
        <v>90</v>
      </c>
      <c r="M34" s="518"/>
      <c r="N34" s="519"/>
      <c r="O34" s="109"/>
    </row>
    <row r="35" spans="2:20" ht="36">
      <c r="B35" s="108"/>
      <c r="C35" s="158" t="s">
        <v>137</v>
      </c>
      <c r="D35" s="7"/>
      <c r="E35" s="7"/>
      <c r="F35" s="7"/>
      <c r="G35" s="7"/>
      <c r="H35" s="443" t="s">
        <v>150</v>
      </c>
      <c r="I35" s="446"/>
      <c r="J35" s="29">
        <f>'SAFE SERIES ONE'!D35</f>
        <v>10000000</v>
      </c>
      <c r="K35" s="7"/>
      <c r="L35" s="443" t="s">
        <v>77</v>
      </c>
      <c r="M35" s="446"/>
      <c r="N35" s="29">
        <v>30000000</v>
      </c>
      <c r="O35" s="109"/>
      <c r="P35" s="7"/>
      <c r="Q35" s="7">
        <f>Q9/N35</f>
        <v>4.166666666666667</v>
      </c>
    </row>
    <row r="36" spans="2:20" ht="36">
      <c r="B36" s="108"/>
      <c r="C36" s="158"/>
      <c r="D36" s="7"/>
      <c r="E36" s="7"/>
      <c r="F36" s="7"/>
      <c r="G36" s="7"/>
      <c r="H36" s="443" t="s">
        <v>149</v>
      </c>
      <c r="I36" s="446"/>
      <c r="J36" s="29">
        <f>'SAFE SERIES ONE'!C60</f>
        <v>2000000</v>
      </c>
      <c r="K36" s="7"/>
      <c r="L36" s="443" t="s">
        <v>117</v>
      </c>
      <c r="M36" s="439"/>
      <c r="N36" s="29">
        <f>J36</f>
        <v>2000000</v>
      </c>
      <c r="O36" s="300" t="s">
        <v>190</v>
      </c>
      <c r="P36" s="7"/>
      <c r="Q36" s="7"/>
    </row>
    <row r="37" spans="2:20" ht="36">
      <c r="B37" s="108"/>
      <c r="C37" s="158"/>
      <c r="D37" s="7"/>
      <c r="E37" s="7"/>
      <c r="F37" s="7"/>
      <c r="G37" s="301"/>
      <c r="H37" s="444">
        <f>J37/J41</f>
        <v>0.01</v>
      </c>
      <c r="I37" s="445"/>
      <c r="J37" s="244">
        <f>J36/J35</f>
        <v>0.2</v>
      </c>
      <c r="K37" s="7"/>
      <c r="L37" s="443" t="s">
        <v>146</v>
      </c>
      <c r="M37" s="439"/>
      <c r="N37" s="29">
        <f>K24</f>
        <v>6000000</v>
      </c>
      <c r="O37" s="302">
        <f>N35/N37</f>
        <v>5</v>
      </c>
      <c r="P37" s="7"/>
      <c r="Q37" s="233">
        <f>N37*Q35</f>
        <v>25000000</v>
      </c>
    </row>
    <row r="38" spans="2:20" ht="33" customHeight="1" thickBot="1">
      <c r="B38" s="108"/>
      <c r="C38" s="7"/>
      <c r="D38" s="7"/>
      <c r="E38" s="7"/>
      <c r="F38" s="7"/>
      <c r="G38" s="7"/>
      <c r="H38" s="443" t="s">
        <v>148</v>
      </c>
      <c r="I38" s="446"/>
      <c r="J38" s="239">
        <f>J36/J41</f>
        <v>100000</v>
      </c>
      <c r="K38" s="7"/>
      <c r="L38" s="443" t="s">
        <v>122</v>
      </c>
      <c r="M38" s="446"/>
      <c r="N38" s="29">
        <f>N36+N37</f>
        <v>8000000</v>
      </c>
      <c r="O38" s="109"/>
      <c r="P38" s="7"/>
    </row>
    <row r="39" spans="2:20" ht="36" customHeight="1" thickBot="1">
      <c r="B39" s="108"/>
      <c r="C39" s="7"/>
      <c r="D39" s="7"/>
      <c r="E39" s="447"/>
      <c r="F39" s="448"/>
      <c r="G39" s="7"/>
      <c r="H39" s="443" t="s">
        <v>147</v>
      </c>
      <c r="I39" s="446"/>
      <c r="J39" s="238">
        <f>D22</f>
        <v>6.0000000000000001E-3</v>
      </c>
      <c r="K39" s="7"/>
      <c r="L39" s="506" t="s">
        <v>78</v>
      </c>
      <c r="M39" s="507"/>
      <c r="N39" s="241">
        <f>+N35+N37</f>
        <v>36000000</v>
      </c>
      <c r="O39" s="109"/>
      <c r="P39" s="7"/>
    </row>
    <row r="40" spans="2:20" ht="23">
      <c r="B40" s="108"/>
      <c r="C40" s="500"/>
      <c r="D40" s="501"/>
      <c r="E40" s="449" t="s">
        <v>96</v>
      </c>
      <c r="F40" s="450"/>
      <c r="G40" s="7"/>
      <c r="H40" s="443"/>
      <c r="I40" s="446"/>
      <c r="J40" s="30"/>
      <c r="K40" s="7"/>
      <c r="L40" s="443" t="s">
        <v>79</v>
      </c>
      <c r="M40" s="446"/>
      <c r="N40" s="30">
        <f>'SAFE SERIES ONE'!O78</f>
        <v>10000000</v>
      </c>
      <c r="O40" s="109"/>
      <c r="P40" s="7"/>
      <c r="T40" s="7"/>
    </row>
    <row r="41" spans="2:20" ht="36" customHeight="1" thickBot="1">
      <c r="B41" s="108"/>
      <c r="C41" s="502"/>
      <c r="D41" s="503"/>
      <c r="E41" s="451"/>
      <c r="F41" s="452"/>
      <c r="G41" s="7"/>
      <c r="H41" s="161"/>
      <c r="I41" s="162" t="s">
        <v>188</v>
      </c>
      <c r="J41" s="160">
        <f>'SAFE SERIES ONE'!Q82</f>
        <v>20</v>
      </c>
      <c r="K41" s="7"/>
      <c r="L41" s="496" t="s">
        <v>106</v>
      </c>
      <c r="M41" s="497"/>
      <c r="N41" s="125">
        <f>(N35)/N40</f>
        <v>3</v>
      </c>
      <c r="O41" s="109"/>
      <c r="P41" s="7"/>
      <c r="T41" s="7"/>
    </row>
    <row r="42" spans="2:20" ht="45" customHeight="1" thickBot="1">
      <c r="B42" s="108"/>
      <c r="C42" s="504"/>
      <c r="D42" s="505"/>
      <c r="E42" s="453"/>
      <c r="F42" s="454"/>
      <c r="G42" s="7"/>
      <c r="H42" s="154"/>
      <c r="I42" s="154" t="s">
        <v>362</v>
      </c>
      <c r="J42" s="423"/>
      <c r="K42" s="7"/>
      <c r="L42" s="498" t="s">
        <v>107</v>
      </c>
      <c r="M42" s="499"/>
      <c r="N42" s="151">
        <f>(N35+N37)/N40</f>
        <v>3.6</v>
      </c>
      <c r="O42" s="109"/>
      <c r="P42" s="7"/>
      <c r="T42" s="7"/>
    </row>
    <row r="43" spans="2:20" ht="70" customHeight="1" thickBot="1">
      <c r="B43" s="108"/>
      <c r="C43" s="102" t="s">
        <v>80</v>
      </c>
      <c r="D43" s="102" t="s">
        <v>81</v>
      </c>
      <c r="E43" s="103" t="s">
        <v>95</v>
      </c>
      <c r="F43" s="103" t="s">
        <v>82</v>
      </c>
      <c r="G43" s="7"/>
      <c r="H43" s="103" t="s">
        <v>94</v>
      </c>
      <c r="I43" s="103" t="s">
        <v>93</v>
      </c>
      <c r="J43" s="103" t="s">
        <v>82</v>
      </c>
      <c r="K43" s="7"/>
      <c r="L43" s="103" t="s">
        <v>92</v>
      </c>
      <c r="M43" s="103" t="s">
        <v>83</v>
      </c>
      <c r="N43" s="103" t="s">
        <v>125</v>
      </c>
      <c r="O43" s="109"/>
      <c r="P43" s="7"/>
      <c r="T43" s="7"/>
    </row>
    <row r="44" spans="2:20" ht="23">
      <c r="B44" s="108"/>
      <c r="C44" s="31" t="s">
        <v>91</v>
      </c>
      <c r="D44" s="32"/>
      <c r="E44" s="33"/>
      <c r="F44" s="34"/>
      <c r="G44" s="7"/>
      <c r="H44" s="284"/>
      <c r="I44" s="35"/>
      <c r="J44" s="36"/>
      <c r="K44" s="7"/>
      <c r="L44" s="276"/>
      <c r="M44" s="37"/>
      <c r="N44" s="38"/>
      <c r="O44" s="109"/>
      <c r="P44" s="7"/>
      <c r="T44" s="7"/>
    </row>
    <row r="45" spans="2:20" ht="28">
      <c r="B45" s="108"/>
      <c r="C45" s="73" t="s">
        <v>31</v>
      </c>
      <c r="D45" s="39" t="s">
        <v>84</v>
      </c>
      <c r="E45" s="113">
        <v>6000000</v>
      </c>
      <c r="F45" s="40">
        <f>+E45/E56</f>
        <v>0.75</v>
      </c>
      <c r="G45" s="7"/>
      <c r="H45" s="285"/>
      <c r="I45" s="41">
        <f>+E45</f>
        <v>6000000</v>
      </c>
      <c r="J45" s="40">
        <f>F45*(1-J51)</f>
        <v>0.70499999999999996</v>
      </c>
      <c r="K45" s="7"/>
      <c r="L45" s="277"/>
      <c r="M45" s="41">
        <f>I45</f>
        <v>6000000</v>
      </c>
      <c r="N45" s="40">
        <f>F45*(1-N54-N51)</f>
        <v>0.70499999999999996</v>
      </c>
      <c r="O45" s="303">
        <f>N45+N48</f>
        <v>0.94</v>
      </c>
      <c r="T45" s="7"/>
    </row>
    <row r="46" spans="2:20" ht="28">
      <c r="B46" s="108"/>
      <c r="C46" s="94"/>
      <c r="D46" s="95"/>
      <c r="E46" s="96"/>
      <c r="F46" s="97"/>
      <c r="G46" s="7"/>
      <c r="H46" s="286"/>
      <c r="I46" s="98"/>
      <c r="J46" s="99"/>
      <c r="K46" s="7"/>
      <c r="L46" s="278"/>
      <c r="M46" s="100"/>
      <c r="N46" s="101"/>
      <c r="O46" s="304"/>
      <c r="T46" s="7"/>
    </row>
    <row r="47" spans="2:20" ht="28">
      <c r="B47" s="108"/>
      <c r="C47" s="56" t="s">
        <v>86</v>
      </c>
      <c r="D47" s="57"/>
      <c r="E47" s="58"/>
      <c r="F47" s="59"/>
      <c r="G47" s="7"/>
      <c r="H47" s="287"/>
      <c r="I47" s="60"/>
      <c r="J47" s="61"/>
      <c r="K47" s="7"/>
      <c r="L47" s="279"/>
      <c r="M47" s="62"/>
      <c r="N47" s="63"/>
      <c r="O47" s="304"/>
      <c r="T47" s="7"/>
    </row>
    <row r="48" spans="2:20" ht="29" thickBot="1">
      <c r="B48" s="108"/>
      <c r="C48" s="85" t="s">
        <v>32</v>
      </c>
      <c r="D48" s="64" t="s">
        <v>84</v>
      </c>
      <c r="E48" s="114">
        <v>2000000</v>
      </c>
      <c r="F48" s="65">
        <f>+E48/E56</f>
        <v>0.25</v>
      </c>
      <c r="G48" s="7"/>
      <c r="H48" s="288"/>
      <c r="I48" s="66">
        <f>+E48</f>
        <v>2000000</v>
      </c>
      <c r="J48" s="67">
        <f>F48*(1-J51)</f>
        <v>0.23499999999999999</v>
      </c>
      <c r="K48" s="7"/>
      <c r="L48" s="280"/>
      <c r="M48" s="68">
        <f>I48</f>
        <v>2000000</v>
      </c>
      <c r="N48" s="67">
        <f>F48*(1-N54-N51)</f>
        <v>0.23499999999999999</v>
      </c>
      <c r="O48" s="304"/>
      <c r="T48" s="7"/>
    </row>
    <row r="49" spans="2:23" ht="29" thickBot="1">
      <c r="B49" s="108"/>
      <c r="C49" s="76"/>
      <c r="D49" s="77"/>
      <c r="E49" s="78"/>
      <c r="F49" s="79"/>
      <c r="G49" s="7"/>
      <c r="H49" s="80"/>
      <c r="I49" s="81"/>
      <c r="J49" s="82"/>
      <c r="K49" s="7"/>
      <c r="L49" s="83"/>
      <c r="M49" s="84"/>
      <c r="N49" s="230"/>
      <c r="O49" s="304"/>
      <c r="T49" s="7"/>
    </row>
    <row r="50" spans="2:23" ht="28">
      <c r="B50" s="108"/>
      <c r="C50" s="42" t="s">
        <v>89</v>
      </c>
      <c r="D50" s="43"/>
      <c r="E50" s="44"/>
      <c r="F50" s="293"/>
      <c r="G50" s="7"/>
      <c r="H50" s="289"/>
      <c r="I50" s="46"/>
      <c r="J50" s="47"/>
      <c r="K50" s="7"/>
      <c r="L50" s="281"/>
      <c r="M50" s="48"/>
      <c r="N50" s="49"/>
      <c r="O50" s="304"/>
      <c r="T50" s="7"/>
    </row>
    <row r="51" spans="2:23" ht="34">
      <c r="B51" s="108"/>
      <c r="C51" s="74" t="s">
        <v>110</v>
      </c>
      <c r="D51" s="50" t="s">
        <v>84</v>
      </c>
      <c r="E51" s="44"/>
      <c r="F51" s="45"/>
      <c r="G51" s="7"/>
      <c r="H51" s="424">
        <f>'SAFE SERIES ONE'!Q82*'SAFE SERIES ONE'!Q83</f>
        <v>600000</v>
      </c>
      <c r="I51" s="425">
        <f>H51</f>
        <v>600000</v>
      </c>
      <c r="J51" s="426">
        <f>'SAFE SERIES ONE'!S83</f>
        <v>0.06</v>
      </c>
      <c r="K51" s="7"/>
      <c r="L51" s="282"/>
      <c r="M51" s="51">
        <f>I51</f>
        <v>600000</v>
      </c>
      <c r="N51" s="52">
        <f>M51/M56</f>
        <v>0.06</v>
      </c>
      <c r="O51" s="303">
        <f>N51</f>
        <v>0.06</v>
      </c>
      <c r="T51" s="7"/>
    </row>
    <row r="52" spans="2:23" ht="29" thickBot="1">
      <c r="B52" s="108"/>
      <c r="C52" s="211"/>
      <c r="D52" s="212"/>
      <c r="E52" s="213"/>
      <c r="F52" s="294"/>
      <c r="G52" s="7"/>
      <c r="H52" s="290"/>
      <c r="I52" s="152"/>
      <c r="J52" s="152"/>
      <c r="K52" s="7"/>
      <c r="L52" s="295"/>
      <c r="M52" s="214"/>
      <c r="N52" s="215"/>
      <c r="O52" s="305"/>
      <c r="T52" s="7"/>
    </row>
    <row r="53" spans="2:23" ht="28">
      <c r="B53" s="108"/>
      <c r="C53" s="53" t="s">
        <v>88</v>
      </c>
      <c r="D53" s="54"/>
      <c r="E53" s="201"/>
      <c r="F53" s="202"/>
      <c r="G53" s="7"/>
      <c r="H53" s="291"/>
      <c r="I53" s="203"/>
      <c r="J53" s="204"/>
      <c r="K53" s="7"/>
      <c r="L53" s="283"/>
      <c r="M53" s="205"/>
      <c r="N53" s="206"/>
      <c r="O53" s="304"/>
      <c r="W53" s="7"/>
    </row>
    <row r="54" spans="2:23" ht="32" thickBot="1">
      <c r="B54" s="108"/>
      <c r="C54" s="75" t="s">
        <v>35</v>
      </c>
      <c r="D54" s="55" t="s">
        <v>85</v>
      </c>
      <c r="E54" s="207"/>
      <c r="F54" s="208"/>
      <c r="G54" s="7"/>
      <c r="H54" s="292"/>
      <c r="I54" s="209"/>
      <c r="J54" s="210"/>
      <c r="K54" s="7"/>
      <c r="L54" s="427">
        <f>M54</f>
        <v>0</v>
      </c>
      <c r="M54" s="428">
        <f>M56*N54</f>
        <v>0</v>
      </c>
      <c r="N54" s="429">
        <v>0</v>
      </c>
      <c r="O54" s="303">
        <f>N54</f>
        <v>0</v>
      </c>
    </row>
    <row r="55" spans="2:23" ht="29" thickBot="1">
      <c r="B55" s="108"/>
      <c r="C55" s="229"/>
      <c r="D55" s="216"/>
      <c r="E55" s="217"/>
      <c r="F55" s="218"/>
      <c r="G55" s="7"/>
      <c r="H55" s="219"/>
      <c r="I55" s="219"/>
      <c r="J55" s="219"/>
      <c r="K55" s="7"/>
      <c r="L55" s="220"/>
      <c r="M55" s="220"/>
      <c r="N55" s="231"/>
      <c r="O55" s="304"/>
    </row>
    <row r="56" spans="2:23" ht="29" thickBot="1">
      <c r="B56" s="108"/>
      <c r="C56" s="221" t="s">
        <v>87</v>
      </c>
      <c r="D56" s="222"/>
      <c r="E56" s="223">
        <f>SUM(E45:E48)</f>
        <v>8000000</v>
      </c>
      <c r="F56" s="224">
        <f>SUM(F45:F48)</f>
        <v>1</v>
      </c>
      <c r="G56" s="7"/>
      <c r="H56" s="430">
        <f>H51</f>
        <v>600000</v>
      </c>
      <c r="I56" s="225">
        <f>SUM(I45:I54)</f>
        <v>8600000</v>
      </c>
      <c r="J56" s="226">
        <f>SUM(J45:J52)</f>
        <v>1</v>
      </c>
      <c r="K56" s="7"/>
      <c r="L56" s="227">
        <f>L54</f>
        <v>0</v>
      </c>
      <c r="M56" s="228">
        <f>'SAFE SERIES ONE'!O78</f>
        <v>10000000</v>
      </c>
      <c r="N56" s="226">
        <f>SUM(N45:N54)</f>
        <v>1</v>
      </c>
      <c r="O56" s="303">
        <f>SUM(O45:O54)</f>
        <v>1</v>
      </c>
    </row>
    <row r="57" spans="2:23">
      <c r="B57" s="110"/>
      <c r="C57" s="111"/>
      <c r="D57" s="111"/>
      <c r="E57" s="111"/>
      <c r="F57" s="111"/>
      <c r="G57" s="111"/>
      <c r="H57" s="111"/>
      <c r="I57" s="111"/>
      <c r="J57" s="111"/>
      <c r="K57" s="111"/>
      <c r="L57" s="274">
        <f>SUM(M45:M54)</f>
        <v>8600000</v>
      </c>
      <c r="M57" s="274">
        <f>M54+M51+M48+M45</f>
        <v>8600000</v>
      </c>
      <c r="N57" s="111"/>
      <c r="O57" s="112"/>
      <c r="P57" s="7"/>
      <c r="Q57" s="7"/>
      <c r="R57" s="7"/>
    </row>
    <row r="59" spans="2:23">
      <c r="C59" s="442" t="s">
        <v>67</v>
      </c>
      <c r="D59" s="442"/>
      <c r="E59" s="442"/>
      <c r="F59" s="442"/>
      <c r="G59" s="442"/>
      <c r="H59" s="442"/>
      <c r="I59" s="442"/>
      <c r="J59" s="442"/>
      <c r="K59" s="442"/>
      <c r="L59" s="442"/>
      <c r="M59" s="442"/>
      <c r="N59" s="442"/>
      <c r="O59" s="442"/>
      <c r="P59" s="442"/>
      <c r="Q59" s="442"/>
      <c r="R59" s="442"/>
    </row>
    <row r="60" spans="2:23">
      <c r="C60" s="442" t="s">
        <v>68</v>
      </c>
      <c r="D60" s="442"/>
      <c r="E60" s="442"/>
      <c r="F60" s="442"/>
      <c r="G60" s="442"/>
      <c r="H60" s="442"/>
      <c r="I60" s="442"/>
      <c r="J60" s="442"/>
      <c r="K60" s="442"/>
      <c r="L60" s="442"/>
      <c r="M60" s="442"/>
      <c r="N60" s="442"/>
      <c r="O60" s="442"/>
      <c r="P60" s="442"/>
      <c r="Q60" s="442"/>
      <c r="R60" s="442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70"/>
      <c r="G63" s="70"/>
      <c r="J63" s="70"/>
      <c r="M63" s="70"/>
    </row>
    <row r="64" spans="2:23">
      <c r="D64" s="71"/>
      <c r="G64" s="23"/>
      <c r="H64" s="10"/>
      <c r="J64" s="23"/>
      <c r="K64" s="10"/>
      <c r="M64" s="23"/>
      <c r="N64" s="10"/>
    </row>
    <row r="65" spans="4:19">
      <c r="D65" s="72"/>
      <c r="G65" s="23"/>
      <c r="H65" s="10"/>
      <c r="J65" s="23"/>
      <c r="K65" s="10"/>
      <c r="M65" s="23"/>
      <c r="N65" s="10"/>
    </row>
    <row r="66" spans="4:19">
      <c r="H66" s="23"/>
      <c r="K66" s="23"/>
      <c r="N66" s="23"/>
    </row>
    <row r="67" spans="4:19">
      <c r="H67" s="10"/>
      <c r="K67" s="10"/>
      <c r="N67" s="10"/>
    </row>
    <row r="69" spans="4:19">
      <c r="S69" s="119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180" t="s">
        <v>328</v>
      </c>
      <c r="G2" s="179"/>
      <c r="P2" s="24" t="s">
        <v>205</v>
      </c>
      <c r="Q2" s="180" t="s">
        <v>329</v>
      </c>
    </row>
    <row r="3" spans="2:17" ht="25">
      <c r="D3" s="180"/>
      <c r="G3" s="179"/>
    </row>
    <row r="5" spans="2:17" ht="20">
      <c r="B5" s="400">
        <v>25000000</v>
      </c>
      <c r="C5" s="374" t="s">
        <v>5</v>
      </c>
      <c r="D5" s="4"/>
      <c r="E5" s="4"/>
      <c r="F5" s="4"/>
      <c r="G5" s="4"/>
      <c r="H5" s="375" t="s">
        <v>299</v>
      </c>
      <c r="K5" s="400">
        <v>100000000</v>
      </c>
      <c r="L5" s="374" t="s">
        <v>330</v>
      </c>
      <c r="M5" s="4"/>
      <c r="N5" s="4"/>
      <c r="O5" s="4"/>
      <c r="P5" s="4"/>
      <c r="Q5" s="375" t="s">
        <v>299</v>
      </c>
    </row>
    <row r="6" spans="2:17">
      <c r="B6" s="376"/>
      <c r="C6" s="22"/>
      <c r="D6" s="22"/>
      <c r="E6" s="22"/>
      <c r="F6" s="377" t="s">
        <v>174</v>
      </c>
      <c r="G6" s="377" t="b">
        <v>0</v>
      </c>
      <c r="H6" s="378" t="b">
        <v>0</v>
      </c>
      <c r="K6" s="376"/>
      <c r="L6" s="22"/>
      <c r="M6" s="22"/>
      <c r="N6" s="22"/>
      <c r="O6" s="377" t="s">
        <v>174</v>
      </c>
      <c r="P6" s="377" t="b">
        <v>0</v>
      </c>
      <c r="Q6" s="378" t="b">
        <v>0</v>
      </c>
    </row>
    <row r="7" spans="2:17">
      <c r="B7" s="256"/>
      <c r="C7" s="25"/>
      <c r="D7" s="137" t="s">
        <v>181</v>
      </c>
      <c r="E7" s="387" t="s">
        <v>173</v>
      </c>
      <c r="F7" s="380" t="s">
        <v>174</v>
      </c>
      <c r="G7" s="401" t="s">
        <v>175</v>
      </c>
      <c r="H7" s="402" t="s">
        <v>176</v>
      </c>
      <c r="K7" s="256"/>
      <c r="L7" s="25"/>
      <c r="M7" s="137" t="s">
        <v>181</v>
      </c>
      <c r="N7" s="401" t="s">
        <v>173</v>
      </c>
      <c r="O7" s="380" t="s">
        <v>174</v>
      </c>
      <c r="P7" s="401" t="s">
        <v>175</v>
      </c>
      <c r="Q7" s="402" t="s">
        <v>176</v>
      </c>
    </row>
    <row r="8" spans="2:17">
      <c r="B8" s="256"/>
      <c r="C8" s="136" t="s">
        <v>183</v>
      </c>
      <c r="D8" s="233">
        <v>250000</v>
      </c>
      <c r="E8" s="403">
        <v>300000</v>
      </c>
      <c r="F8" s="381">
        <v>357142.85714285716</v>
      </c>
      <c r="G8" s="404">
        <v>300000</v>
      </c>
      <c r="H8" s="405">
        <v>300000</v>
      </c>
      <c r="K8" s="256"/>
      <c r="L8" s="136" t="s">
        <v>183</v>
      </c>
      <c r="M8" s="233">
        <v>250000</v>
      </c>
      <c r="N8" s="404">
        <v>300000</v>
      </c>
      <c r="O8" s="381">
        <v>1428571.4285714286</v>
      </c>
      <c r="P8" s="404">
        <v>300000</v>
      </c>
      <c r="Q8" s="405">
        <v>300000</v>
      </c>
    </row>
    <row r="9" spans="2:17">
      <c r="B9" s="256"/>
      <c r="C9" s="138" t="s">
        <v>331</v>
      </c>
      <c r="D9" s="233"/>
      <c r="E9" s="391" t="s">
        <v>332</v>
      </c>
      <c r="F9" s="384" t="s">
        <v>333</v>
      </c>
      <c r="G9" s="391" t="s">
        <v>334</v>
      </c>
      <c r="H9" s="406" t="s">
        <v>332</v>
      </c>
      <c r="K9" s="256"/>
      <c r="L9" s="138" t="s">
        <v>331</v>
      </c>
      <c r="M9" s="233"/>
      <c r="N9" s="407" t="s">
        <v>332</v>
      </c>
      <c r="O9" s="384" t="s">
        <v>335</v>
      </c>
      <c r="P9" s="391" t="s">
        <v>334</v>
      </c>
      <c r="Q9" s="406" t="s">
        <v>332</v>
      </c>
    </row>
    <row r="10" spans="2:17">
      <c r="B10" s="256"/>
      <c r="C10" s="138"/>
      <c r="D10" s="258" t="s">
        <v>160</v>
      </c>
      <c r="E10" s="392">
        <v>2.4E-2</v>
      </c>
      <c r="F10" s="385">
        <v>1.4285714285714287E-2</v>
      </c>
      <c r="G10" s="408">
        <v>1.2E-2</v>
      </c>
      <c r="H10" s="409">
        <v>1.2E-2</v>
      </c>
      <c r="K10" s="256"/>
      <c r="L10" s="138"/>
      <c r="M10" s="233"/>
      <c r="N10" s="258" t="s">
        <v>160</v>
      </c>
      <c r="O10" s="385">
        <v>1.4285714285714287E-2</v>
      </c>
      <c r="P10" s="408">
        <v>3.0000000000000001E-3</v>
      </c>
      <c r="Q10" s="409">
        <v>3.0000000000000001E-3</v>
      </c>
    </row>
    <row r="11" spans="2:17">
      <c r="B11" s="267"/>
      <c r="C11" s="268"/>
      <c r="D11" s="269"/>
      <c r="E11" s="410"/>
      <c r="F11" s="386"/>
      <c r="G11" s="270"/>
      <c r="H11" s="271"/>
      <c r="K11" s="267"/>
      <c r="L11" s="268"/>
      <c r="M11" s="269"/>
      <c r="N11" s="411"/>
      <c r="O11" s="386"/>
      <c r="P11" s="411"/>
      <c r="Q11" s="412"/>
    </row>
    <row r="12" spans="2:17">
      <c r="B12" s="256"/>
      <c r="C12" s="138"/>
      <c r="D12" s="233"/>
      <c r="E12" s="413"/>
      <c r="F12" s="377" t="b">
        <v>0</v>
      </c>
      <c r="G12" s="377" t="b">
        <v>0</v>
      </c>
      <c r="H12" s="378" t="s">
        <v>176</v>
      </c>
      <c r="K12" s="256"/>
      <c r="L12" s="138"/>
      <c r="M12" s="233"/>
      <c r="N12" s="414"/>
      <c r="O12" s="377" t="s">
        <v>174</v>
      </c>
      <c r="P12" s="377" t="b">
        <v>0</v>
      </c>
      <c r="Q12" s="378" t="b">
        <v>0</v>
      </c>
    </row>
    <row r="13" spans="2:17">
      <c r="B13" s="256"/>
      <c r="C13" s="138"/>
      <c r="D13" s="137" t="s">
        <v>181</v>
      </c>
      <c r="E13" s="387" t="s">
        <v>173</v>
      </c>
      <c r="F13" s="401" t="s">
        <v>174</v>
      </c>
      <c r="G13" s="401" t="s">
        <v>175</v>
      </c>
      <c r="H13" s="264" t="s">
        <v>176</v>
      </c>
      <c r="K13" s="256"/>
      <c r="L13" s="138"/>
      <c r="M13" s="137" t="s">
        <v>181</v>
      </c>
      <c r="N13" s="401" t="s">
        <v>173</v>
      </c>
      <c r="O13" s="387" t="s">
        <v>174</v>
      </c>
      <c r="P13" s="401" t="s">
        <v>175</v>
      </c>
      <c r="Q13" s="402" t="s">
        <v>176</v>
      </c>
    </row>
    <row r="14" spans="2:17">
      <c r="B14" s="256"/>
      <c r="C14" s="136" t="s">
        <v>182</v>
      </c>
      <c r="D14" s="233">
        <v>250000</v>
      </c>
      <c r="E14" s="403">
        <v>300000</v>
      </c>
      <c r="F14" s="415">
        <v>250000</v>
      </c>
      <c r="G14" s="404">
        <v>300000</v>
      </c>
      <c r="H14" s="259">
        <v>300000</v>
      </c>
      <c r="K14" s="256"/>
      <c r="L14" s="136" t="s">
        <v>182</v>
      </c>
      <c r="M14" s="233">
        <v>250000</v>
      </c>
      <c r="N14" s="404">
        <v>300000</v>
      </c>
      <c r="O14" s="389">
        <v>1000000</v>
      </c>
      <c r="P14" s="404">
        <v>300000</v>
      </c>
      <c r="Q14" s="405">
        <v>300000</v>
      </c>
    </row>
    <row r="15" spans="2:17">
      <c r="B15" s="256"/>
      <c r="C15" s="138" t="s">
        <v>331</v>
      </c>
      <c r="D15" s="7"/>
      <c r="E15" s="391" t="s">
        <v>332</v>
      </c>
      <c r="F15" s="416" t="s">
        <v>334</v>
      </c>
      <c r="G15" s="391" t="s">
        <v>334</v>
      </c>
      <c r="H15" s="261" t="s">
        <v>332</v>
      </c>
      <c r="K15" s="256"/>
      <c r="L15" s="138" t="s">
        <v>331</v>
      </c>
      <c r="M15" s="7"/>
      <c r="N15" s="407" t="s">
        <v>332</v>
      </c>
      <c r="O15" s="391" t="s">
        <v>336</v>
      </c>
      <c r="P15" s="391" t="s">
        <v>334</v>
      </c>
      <c r="Q15" s="406" t="s">
        <v>332</v>
      </c>
    </row>
    <row r="16" spans="2:17">
      <c r="B16" s="256"/>
      <c r="C16" s="7"/>
      <c r="D16" s="258" t="s">
        <v>160</v>
      </c>
      <c r="E16" s="392">
        <v>1.4999999999999999E-2</v>
      </c>
      <c r="F16" s="408">
        <v>0.01</v>
      </c>
      <c r="G16" s="408">
        <v>1.2E-2</v>
      </c>
      <c r="H16" s="266">
        <v>1.2E-2</v>
      </c>
      <c r="K16" s="256"/>
      <c r="L16" s="7"/>
      <c r="M16" s="7"/>
      <c r="N16" s="258" t="s">
        <v>160</v>
      </c>
      <c r="O16" s="392">
        <v>0.01</v>
      </c>
      <c r="P16" s="408">
        <v>3.0000000000000001E-3</v>
      </c>
      <c r="Q16" s="409">
        <v>3.0000000000000001E-3</v>
      </c>
    </row>
    <row r="17" spans="2:17">
      <c r="B17" s="117"/>
      <c r="C17" s="3"/>
      <c r="D17" s="3"/>
      <c r="E17" s="3"/>
      <c r="F17" s="3"/>
      <c r="G17" s="3"/>
      <c r="H17" s="118"/>
      <c r="K17" s="117"/>
      <c r="L17" s="3"/>
      <c r="M17" s="3"/>
      <c r="N17" s="3"/>
      <c r="O17" s="3"/>
      <c r="P17" s="3"/>
      <c r="Q17" s="118"/>
    </row>
    <row r="20" spans="2:17" ht="20">
      <c r="B20" s="400">
        <v>50000000</v>
      </c>
      <c r="C20" s="374" t="s">
        <v>5</v>
      </c>
      <c r="D20" s="4"/>
      <c r="E20" s="4"/>
      <c r="F20" s="4"/>
      <c r="G20" s="4"/>
      <c r="H20" s="375" t="s">
        <v>299</v>
      </c>
      <c r="K20" s="400">
        <v>125000000</v>
      </c>
      <c r="L20" s="374" t="s">
        <v>5</v>
      </c>
      <c r="M20" s="4"/>
      <c r="N20" s="4"/>
      <c r="O20" s="4"/>
      <c r="P20" s="4"/>
      <c r="Q20" s="375" t="s">
        <v>299</v>
      </c>
    </row>
    <row r="21" spans="2:17">
      <c r="B21" s="376"/>
      <c r="C21" s="22"/>
      <c r="D21" s="22"/>
      <c r="E21" s="414"/>
      <c r="F21" s="377" t="s">
        <v>174</v>
      </c>
      <c r="G21" s="377" t="b">
        <v>0</v>
      </c>
      <c r="H21" s="378" t="b">
        <v>0</v>
      </c>
      <c r="K21" s="376"/>
      <c r="L21" s="22"/>
      <c r="M21" s="22"/>
      <c r="N21" s="22"/>
      <c r="O21" s="377" t="s">
        <v>174</v>
      </c>
      <c r="P21" s="377" t="b">
        <v>0</v>
      </c>
      <c r="Q21" s="378" t="b">
        <v>0</v>
      </c>
    </row>
    <row r="22" spans="2:17">
      <c r="B22" s="256"/>
      <c r="C22" s="25"/>
      <c r="D22" s="137" t="s">
        <v>181</v>
      </c>
      <c r="E22" s="401" t="s">
        <v>173</v>
      </c>
      <c r="F22" s="380" t="s">
        <v>174</v>
      </c>
      <c r="G22" s="401" t="s">
        <v>175</v>
      </c>
      <c r="H22" s="402" t="s">
        <v>176</v>
      </c>
      <c r="K22" s="256"/>
      <c r="L22" s="25"/>
      <c r="M22" s="137" t="s">
        <v>181</v>
      </c>
      <c r="N22" s="401" t="s">
        <v>173</v>
      </c>
      <c r="O22" s="380" t="s">
        <v>174</v>
      </c>
      <c r="P22" s="401" t="s">
        <v>175</v>
      </c>
      <c r="Q22" s="402" t="s">
        <v>176</v>
      </c>
    </row>
    <row r="23" spans="2:17">
      <c r="B23" s="256"/>
      <c r="C23" s="136" t="s">
        <v>183</v>
      </c>
      <c r="D23" s="233">
        <v>250000</v>
      </c>
      <c r="E23" s="404">
        <v>300000</v>
      </c>
      <c r="F23" s="381">
        <v>714285.71428571432</v>
      </c>
      <c r="G23" s="404">
        <v>300000</v>
      </c>
      <c r="H23" s="405">
        <v>300000</v>
      </c>
      <c r="K23" s="256"/>
      <c r="L23" s="136" t="s">
        <v>183</v>
      </c>
      <c r="M23" s="233">
        <v>250000</v>
      </c>
      <c r="N23" s="404">
        <v>300000</v>
      </c>
      <c r="O23" s="381">
        <v>1785714.2857142859</v>
      </c>
      <c r="P23" s="404">
        <v>300000</v>
      </c>
      <c r="Q23" s="405">
        <v>300000</v>
      </c>
    </row>
    <row r="24" spans="2:17">
      <c r="B24" s="256"/>
      <c r="C24" s="138" t="s">
        <v>331</v>
      </c>
      <c r="D24" s="233"/>
      <c r="E24" s="407" t="s">
        <v>332</v>
      </c>
      <c r="F24" s="384" t="s">
        <v>337</v>
      </c>
      <c r="G24" s="391" t="s">
        <v>334</v>
      </c>
      <c r="H24" s="406" t="s">
        <v>332</v>
      </c>
      <c r="K24" s="256"/>
      <c r="L24" s="138" t="s">
        <v>331</v>
      </c>
      <c r="M24" s="233"/>
      <c r="N24" s="407" t="s">
        <v>332</v>
      </c>
      <c r="O24" s="384" t="s">
        <v>338</v>
      </c>
      <c r="P24" s="391" t="s">
        <v>334</v>
      </c>
      <c r="Q24" s="406" t="s">
        <v>332</v>
      </c>
    </row>
    <row r="25" spans="2:17">
      <c r="B25" s="256"/>
      <c r="C25" s="138"/>
      <c r="D25" s="258" t="s">
        <v>160</v>
      </c>
      <c r="E25" s="408">
        <v>2.4E-2</v>
      </c>
      <c r="F25" s="385">
        <v>1.4285714285714287E-2</v>
      </c>
      <c r="G25" s="408">
        <v>6.0000000000000001E-3</v>
      </c>
      <c r="H25" s="409">
        <v>6.0000000000000001E-3</v>
      </c>
      <c r="K25" s="256"/>
      <c r="L25" s="138"/>
      <c r="M25" s="233"/>
      <c r="N25" s="258" t="s">
        <v>160</v>
      </c>
      <c r="O25" s="385">
        <v>1.4285714285714287E-2</v>
      </c>
      <c r="P25" s="408">
        <v>2.3999999999999998E-3</v>
      </c>
      <c r="Q25" s="409">
        <v>2.3999999999999998E-3</v>
      </c>
    </row>
    <row r="26" spans="2:17">
      <c r="B26" s="267"/>
      <c r="C26" s="268"/>
      <c r="D26" s="269"/>
      <c r="E26" s="411"/>
      <c r="F26" s="386"/>
      <c r="G26" s="411"/>
      <c r="H26" s="412"/>
      <c r="K26" s="267"/>
      <c r="L26" s="268"/>
      <c r="M26" s="269"/>
      <c r="N26" s="411"/>
      <c r="O26" s="386"/>
      <c r="P26" s="411"/>
      <c r="Q26" s="412"/>
    </row>
    <row r="27" spans="2:17">
      <c r="B27" s="256"/>
      <c r="C27" s="138"/>
      <c r="D27" s="233"/>
      <c r="E27" s="414"/>
      <c r="F27" s="377" t="s">
        <v>174</v>
      </c>
      <c r="G27" s="377" t="b">
        <v>0</v>
      </c>
      <c r="H27" s="378" t="b">
        <v>0</v>
      </c>
      <c r="K27" s="256"/>
      <c r="L27" s="138"/>
      <c r="M27" s="233"/>
      <c r="N27" s="414"/>
      <c r="O27" s="377" t="s">
        <v>174</v>
      </c>
      <c r="P27" s="377" t="b">
        <v>0</v>
      </c>
      <c r="Q27" s="378" t="b">
        <v>0</v>
      </c>
    </row>
    <row r="28" spans="2:17">
      <c r="B28" s="256"/>
      <c r="C28" s="138"/>
      <c r="D28" s="137" t="s">
        <v>181</v>
      </c>
      <c r="E28" s="401" t="s">
        <v>173</v>
      </c>
      <c r="F28" s="387" t="s">
        <v>174</v>
      </c>
      <c r="G28" s="401" t="s">
        <v>175</v>
      </c>
      <c r="H28" s="402" t="s">
        <v>176</v>
      </c>
      <c r="K28" s="256"/>
      <c r="L28" s="138"/>
      <c r="M28" s="137" t="s">
        <v>181</v>
      </c>
      <c r="N28" s="401" t="s">
        <v>173</v>
      </c>
      <c r="O28" s="387" t="s">
        <v>174</v>
      </c>
      <c r="P28" s="401" t="s">
        <v>175</v>
      </c>
      <c r="Q28" s="402" t="s">
        <v>176</v>
      </c>
    </row>
    <row r="29" spans="2:17">
      <c r="B29" s="256"/>
      <c r="C29" s="136" t="s">
        <v>182</v>
      </c>
      <c r="D29" s="233">
        <v>250000</v>
      </c>
      <c r="E29" s="404">
        <v>300000</v>
      </c>
      <c r="F29" s="389">
        <v>500000</v>
      </c>
      <c r="G29" s="404">
        <v>300000</v>
      </c>
      <c r="H29" s="405">
        <v>300000</v>
      </c>
      <c r="K29" s="256"/>
      <c r="L29" s="136" t="s">
        <v>182</v>
      </c>
      <c r="M29" s="233">
        <v>250000</v>
      </c>
      <c r="N29" s="404">
        <v>300000</v>
      </c>
      <c r="O29" s="389">
        <v>1250000</v>
      </c>
      <c r="P29" s="404">
        <v>300000</v>
      </c>
      <c r="Q29" s="405">
        <v>300000</v>
      </c>
    </row>
    <row r="30" spans="2:17">
      <c r="B30" s="256"/>
      <c r="C30" s="138" t="s">
        <v>331</v>
      </c>
      <c r="D30" s="7"/>
      <c r="E30" s="407" t="s">
        <v>332</v>
      </c>
      <c r="F30" s="391" t="s">
        <v>339</v>
      </c>
      <c r="G30" s="391" t="s">
        <v>334</v>
      </c>
      <c r="H30" s="406" t="s">
        <v>332</v>
      </c>
      <c r="K30" s="256"/>
      <c r="L30" s="138" t="s">
        <v>331</v>
      </c>
      <c r="M30" s="7"/>
      <c r="N30" s="407" t="s">
        <v>332</v>
      </c>
      <c r="O30" s="391" t="s">
        <v>340</v>
      </c>
      <c r="P30" s="391" t="s">
        <v>334</v>
      </c>
      <c r="Q30" s="406" t="s">
        <v>332</v>
      </c>
    </row>
    <row r="31" spans="2:17">
      <c r="B31" s="256"/>
      <c r="C31" s="7"/>
      <c r="D31" s="258" t="s">
        <v>160</v>
      </c>
      <c r="E31" s="408">
        <v>1.4999999999999999E-2</v>
      </c>
      <c r="F31" s="392">
        <v>0.01</v>
      </c>
      <c r="G31" s="408">
        <v>6.0000000000000001E-3</v>
      </c>
      <c r="H31" s="409">
        <v>6.0000000000000001E-3</v>
      </c>
      <c r="K31" s="256"/>
      <c r="L31" s="7"/>
      <c r="M31" s="7"/>
      <c r="N31" s="258" t="s">
        <v>160</v>
      </c>
      <c r="O31" s="392">
        <v>0.01</v>
      </c>
      <c r="P31" s="408">
        <v>2.3999999999999998E-3</v>
      </c>
      <c r="Q31" s="409">
        <v>2.3999999999999998E-3</v>
      </c>
    </row>
    <row r="32" spans="2:17">
      <c r="B32" s="117"/>
      <c r="C32" s="3"/>
      <c r="D32" s="3"/>
      <c r="E32" s="3"/>
      <c r="F32" s="3"/>
      <c r="G32" s="3"/>
      <c r="H32" s="118"/>
      <c r="K32" s="117"/>
      <c r="L32" s="3"/>
      <c r="M32" s="3"/>
      <c r="N32" s="3"/>
      <c r="O32" s="3"/>
      <c r="P32" s="3"/>
      <c r="Q32" s="118"/>
    </row>
    <row r="35" spans="2:17" ht="20">
      <c r="B35" s="400">
        <v>75000000</v>
      </c>
      <c r="C35" s="374" t="s">
        <v>5</v>
      </c>
      <c r="D35" s="4"/>
      <c r="E35" s="4"/>
      <c r="F35" s="4"/>
      <c r="G35" s="4"/>
      <c r="H35" s="375" t="s">
        <v>299</v>
      </c>
      <c r="K35" s="400">
        <v>175000000</v>
      </c>
      <c r="L35" s="374" t="s">
        <v>5</v>
      </c>
      <c r="M35" s="4"/>
      <c r="N35" s="4"/>
      <c r="O35" s="4"/>
      <c r="P35" s="4"/>
      <c r="Q35" s="375" t="s">
        <v>299</v>
      </c>
    </row>
    <row r="36" spans="2:17">
      <c r="B36" s="376"/>
      <c r="C36" s="22"/>
      <c r="D36" s="22"/>
      <c r="E36" s="414"/>
      <c r="F36" s="377" t="s">
        <v>174</v>
      </c>
      <c r="G36" s="377" t="b">
        <v>0</v>
      </c>
      <c r="H36" s="378" t="b">
        <v>0</v>
      </c>
      <c r="K36" s="376"/>
      <c r="L36" s="22"/>
      <c r="M36" s="22"/>
      <c r="N36" s="22"/>
      <c r="O36" s="377" t="s">
        <v>174</v>
      </c>
      <c r="P36" s="377" t="b">
        <v>0</v>
      </c>
      <c r="Q36" s="378" t="b">
        <v>0</v>
      </c>
    </row>
    <row r="37" spans="2:17">
      <c r="B37" s="256"/>
      <c r="C37" s="25"/>
      <c r="D37" s="137" t="s">
        <v>181</v>
      </c>
      <c r="E37" s="401" t="s">
        <v>173</v>
      </c>
      <c r="F37" s="380" t="s">
        <v>174</v>
      </c>
      <c r="G37" s="401" t="s">
        <v>175</v>
      </c>
      <c r="H37" s="402" t="s">
        <v>176</v>
      </c>
      <c r="K37" s="256"/>
      <c r="L37" s="25"/>
      <c r="M37" s="137" t="s">
        <v>181</v>
      </c>
      <c r="N37" s="401" t="s">
        <v>173</v>
      </c>
      <c r="O37" s="380" t="s">
        <v>174</v>
      </c>
      <c r="P37" s="401" t="s">
        <v>175</v>
      </c>
      <c r="Q37" s="402" t="s">
        <v>176</v>
      </c>
    </row>
    <row r="38" spans="2:17">
      <c r="B38" s="256"/>
      <c r="C38" s="136" t="s">
        <v>183</v>
      </c>
      <c r="D38" s="233">
        <v>250000</v>
      </c>
      <c r="E38" s="404">
        <v>300000</v>
      </c>
      <c r="F38" s="381">
        <v>1071428.5714285714</v>
      </c>
      <c r="G38" s="404">
        <v>300000</v>
      </c>
      <c r="H38" s="405">
        <v>300000</v>
      </c>
      <c r="K38" s="256"/>
      <c r="L38" s="136" t="s">
        <v>183</v>
      </c>
      <c r="M38" s="233">
        <v>250000</v>
      </c>
      <c r="N38" s="404">
        <v>300000</v>
      </c>
      <c r="O38" s="381">
        <v>2500000</v>
      </c>
      <c r="P38" s="404">
        <v>300000</v>
      </c>
      <c r="Q38" s="405">
        <v>300000</v>
      </c>
    </row>
    <row r="39" spans="2:17">
      <c r="B39" s="256"/>
      <c r="C39" s="138" t="s">
        <v>331</v>
      </c>
      <c r="D39" s="233"/>
      <c r="E39" s="407" t="s">
        <v>332</v>
      </c>
      <c r="F39" s="384" t="s">
        <v>341</v>
      </c>
      <c r="G39" s="391" t="s">
        <v>334</v>
      </c>
      <c r="H39" s="406" t="s">
        <v>332</v>
      </c>
      <c r="K39" s="256"/>
      <c r="L39" s="138" t="s">
        <v>331</v>
      </c>
      <c r="M39" s="233"/>
      <c r="N39" s="407" t="s">
        <v>332</v>
      </c>
      <c r="O39" s="384" t="s">
        <v>342</v>
      </c>
      <c r="P39" s="391" t="s">
        <v>334</v>
      </c>
      <c r="Q39" s="406" t="s">
        <v>332</v>
      </c>
    </row>
    <row r="40" spans="2:17">
      <c r="B40" s="256"/>
      <c r="C40" s="138"/>
      <c r="D40" s="258" t="s">
        <v>160</v>
      </c>
      <c r="E40" s="408">
        <v>2.4E-2</v>
      </c>
      <c r="F40" s="385">
        <v>1.4285714285714285E-2</v>
      </c>
      <c r="G40" s="408">
        <v>4.0000000000000001E-3</v>
      </c>
      <c r="H40" s="409">
        <v>4.0000000000000001E-3</v>
      </c>
      <c r="K40" s="256"/>
      <c r="L40" s="138"/>
      <c r="M40" s="233"/>
      <c r="N40" s="258" t="s">
        <v>160</v>
      </c>
      <c r="O40" s="385">
        <v>1.4285714285714285E-2</v>
      </c>
      <c r="P40" s="408">
        <v>1.7142857142857142E-3</v>
      </c>
      <c r="Q40" s="409">
        <v>1.7142857142857142E-3</v>
      </c>
    </row>
    <row r="41" spans="2:17">
      <c r="B41" s="267"/>
      <c r="C41" s="268"/>
      <c r="D41" s="269"/>
      <c r="E41" s="411"/>
      <c r="F41" s="386"/>
      <c r="G41" s="411"/>
      <c r="H41" s="412"/>
      <c r="K41" s="267"/>
      <c r="L41" s="268"/>
      <c r="M41" s="269"/>
      <c r="N41" s="411"/>
      <c r="O41" s="386"/>
      <c r="P41" s="411"/>
      <c r="Q41" s="412"/>
    </row>
    <row r="42" spans="2:17">
      <c r="B42" s="256"/>
      <c r="C42" s="138"/>
      <c r="D42" s="233"/>
      <c r="E42" s="414"/>
      <c r="F42" s="377" t="s">
        <v>174</v>
      </c>
      <c r="G42" s="377" t="b">
        <v>0</v>
      </c>
      <c r="H42" s="378" t="b">
        <v>0</v>
      </c>
      <c r="K42" s="256"/>
      <c r="L42" s="138"/>
      <c r="M42" s="233"/>
      <c r="N42" s="414"/>
      <c r="O42" s="377" t="s">
        <v>174</v>
      </c>
      <c r="P42" s="377" t="b">
        <v>0</v>
      </c>
      <c r="Q42" s="378" t="b">
        <v>0</v>
      </c>
    </row>
    <row r="43" spans="2:17">
      <c r="B43" s="256"/>
      <c r="C43" s="138"/>
      <c r="D43" s="137" t="s">
        <v>181</v>
      </c>
      <c r="E43" s="401" t="s">
        <v>173</v>
      </c>
      <c r="F43" s="387" t="s">
        <v>174</v>
      </c>
      <c r="G43" s="401" t="s">
        <v>175</v>
      </c>
      <c r="H43" s="402" t="s">
        <v>176</v>
      </c>
      <c r="K43" s="256"/>
      <c r="L43" s="138"/>
      <c r="M43" s="137" t="s">
        <v>181</v>
      </c>
      <c r="N43" s="401" t="s">
        <v>173</v>
      </c>
      <c r="O43" s="387" t="s">
        <v>174</v>
      </c>
      <c r="P43" s="401" t="s">
        <v>175</v>
      </c>
      <c r="Q43" s="402" t="s">
        <v>176</v>
      </c>
    </row>
    <row r="44" spans="2:17">
      <c r="B44" s="256"/>
      <c r="C44" s="136" t="s">
        <v>182</v>
      </c>
      <c r="D44" s="233">
        <v>250000</v>
      </c>
      <c r="E44" s="404">
        <v>300000</v>
      </c>
      <c r="F44" s="389">
        <v>750000</v>
      </c>
      <c r="G44" s="404">
        <v>300000</v>
      </c>
      <c r="H44" s="405">
        <v>300000</v>
      </c>
      <c r="K44" s="256"/>
      <c r="L44" s="136" t="s">
        <v>182</v>
      </c>
      <c r="M44" s="233">
        <v>250000</v>
      </c>
      <c r="N44" s="404">
        <v>300000</v>
      </c>
      <c r="O44" s="389">
        <v>1750000</v>
      </c>
      <c r="P44" s="404">
        <v>300000</v>
      </c>
      <c r="Q44" s="405">
        <v>300000</v>
      </c>
    </row>
    <row r="45" spans="2:17">
      <c r="B45" s="256"/>
      <c r="C45" s="138" t="s">
        <v>331</v>
      </c>
      <c r="D45" s="7"/>
      <c r="E45" s="407" t="s">
        <v>332</v>
      </c>
      <c r="F45" s="391" t="s">
        <v>343</v>
      </c>
      <c r="G45" s="391" t="s">
        <v>334</v>
      </c>
      <c r="H45" s="406" t="s">
        <v>332</v>
      </c>
      <c r="K45" s="256"/>
      <c r="L45" s="138" t="s">
        <v>331</v>
      </c>
      <c r="M45" s="7"/>
      <c r="N45" s="407" t="s">
        <v>332</v>
      </c>
      <c r="O45" s="391" t="s">
        <v>344</v>
      </c>
      <c r="P45" s="391" t="s">
        <v>334</v>
      </c>
      <c r="Q45" s="406" t="s">
        <v>332</v>
      </c>
    </row>
    <row r="46" spans="2:17">
      <c r="B46" s="256"/>
      <c r="C46" s="7"/>
      <c r="D46" s="258" t="s">
        <v>160</v>
      </c>
      <c r="E46" s="408">
        <v>1.4999999999999999E-2</v>
      </c>
      <c r="F46" s="392">
        <v>0.01</v>
      </c>
      <c r="G46" s="408">
        <v>4.0000000000000001E-3</v>
      </c>
      <c r="H46" s="409">
        <v>4.0000000000000001E-3</v>
      </c>
      <c r="K46" s="256"/>
      <c r="L46" s="7"/>
      <c r="M46" s="7"/>
      <c r="N46" s="258" t="s">
        <v>160</v>
      </c>
      <c r="O46" s="392">
        <v>0.01</v>
      </c>
      <c r="P46" s="408">
        <v>1.7142857142857142E-3</v>
      </c>
      <c r="Q46" s="409">
        <v>1.7142857142857142E-3</v>
      </c>
    </row>
    <row r="47" spans="2:17">
      <c r="B47" s="117"/>
      <c r="C47" s="3"/>
      <c r="D47" s="3"/>
      <c r="E47" s="3"/>
      <c r="F47" s="3"/>
      <c r="G47" s="3"/>
      <c r="H47" s="118"/>
      <c r="K47" s="117"/>
      <c r="L47" s="3"/>
      <c r="M47" s="3"/>
      <c r="N47" s="3"/>
      <c r="O47" s="3"/>
      <c r="P47" s="3"/>
      <c r="Q47" s="118"/>
    </row>
    <row r="50" spans="1:11" ht="20">
      <c r="A50" s="13" t="s">
        <v>177</v>
      </c>
      <c r="B50" s="178" t="s">
        <v>345</v>
      </c>
      <c r="C50" s="178"/>
      <c r="K50" s="178" t="s">
        <v>346</v>
      </c>
    </row>
    <row r="51" spans="1:11" ht="20">
      <c r="A51" s="178"/>
      <c r="B51" s="178" t="s">
        <v>347</v>
      </c>
      <c r="C51" s="178"/>
      <c r="K51" s="178" t="s">
        <v>348</v>
      </c>
    </row>
    <row r="52" spans="1:11" ht="20">
      <c r="A52" s="178"/>
      <c r="B52" s="178"/>
      <c r="C52" s="178"/>
    </row>
    <row r="53" spans="1:11" ht="20">
      <c r="A53" s="417" t="s">
        <v>178</v>
      </c>
      <c r="B53" s="418" t="s">
        <v>290</v>
      </c>
      <c r="C53" s="418"/>
      <c r="K53" s="178" t="s">
        <v>349</v>
      </c>
    </row>
    <row r="54" spans="1:11" ht="20">
      <c r="A54" s="178"/>
      <c r="B54" s="178"/>
      <c r="C54" s="178"/>
    </row>
    <row r="55" spans="1:11" ht="20">
      <c r="A55" s="13" t="s">
        <v>179</v>
      </c>
      <c r="B55" s="178" t="s">
        <v>350</v>
      </c>
      <c r="C55" s="178"/>
      <c r="K55" s="419" t="s">
        <v>351</v>
      </c>
    </row>
    <row r="56" spans="1:11" ht="20">
      <c r="A56" s="13"/>
      <c r="B56" s="178" t="s">
        <v>352</v>
      </c>
      <c r="C56" s="178"/>
    </row>
    <row r="57" spans="1:11" ht="20">
      <c r="A57" s="420"/>
      <c r="B57" s="421"/>
      <c r="C57" s="421"/>
      <c r="K57" s="419" t="s">
        <v>353</v>
      </c>
    </row>
    <row r="58" spans="1:11" ht="20">
      <c r="A58" s="13" t="s">
        <v>180</v>
      </c>
      <c r="B58" s="178" t="s">
        <v>354</v>
      </c>
      <c r="C58" s="178"/>
    </row>
    <row r="59" spans="1:11" ht="20">
      <c r="B59" s="178" t="s">
        <v>355</v>
      </c>
      <c r="K59" s="419" t="s">
        <v>356</v>
      </c>
    </row>
    <row r="61" spans="1:11" ht="20">
      <c r="K61" s="419" t="s">
        <v>357</v>
      </c>
    </row>
    <row r="63" spans="1:11" ht="20">
      <c r="K63" s="419" t="s">
        <v>358</v>
      </c>
    </row>
    <row r="64" spans="1:11" ht="20">
      <c r="K64" s="419" t="s">
        <v>359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2018-10-19T00:13:29Z</cp:lastPrinted>
  <dcterms:created xsi:type="dcterms:W3CDTF">2014-08-06T19:05:41Z</dcterms:created>
  <dcterms:modified xsi:type="dcterms:W3CDTF">2018-10-19T00:14:36Z</dcterms:modified>
</cp:coreProperties>
</file>